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2315B9F4-645B-49F2-ADB1-FC788435372C}" xr6:coauthVersionLast="47" xr6:coauthVersionMax="47" xr10:uidLastSave="{00000000-0000-0000-0000-000000000000}"/>
  <workbookProtection workbookAlgorithmName="SHA-512" workbookHashValue="UCiTwktaQbY80ZZMKe4HUJgOtIE7mbcUCeL2Jc8ycbnmBQ8zEMFybRBD/SyfrgeUy/YOL0k1jLs088x4YuVHNg==" workbookSaltValue="ZYtX7G4dEZLoihRg+V5H+w==" workbookSpinCount="100000" lockStructure="1"/>
  <bookViews>
    <workbookView xWindow="-120" yWindow="-120" windowWidth="29040" windowHeight="15990" tabRatio="893" xr2:uid="{00000000-000D-0000-FFFF-FFFF00000000}"/>
  </bookViews>
  <sheets>
    <sheet name="様式11-5" sheetId="12" r:id="rId1"/>
    <sheet name="様式11-6①" sheetId="13" r:id="rId2"/>
    <sheet name="様式11-6②" sheetId="14" r:id="rId3"/>
    <sheet name="様式11-6③" sheetId="28" r:id="rId4"/>
    <sheet name="様式11-6④" sheetId="29" r:id="rId5"/>
    <sheet name="様式11-6⑤" sheetId="26" r:id="rId6"/>
    <sheet name="様式11-6⑥" sheetId="31" r:id="rId7"/>
    <sheet name="様式11-6⑦" sheetId="30" r:id="rId8"/>
    <sheet name="様式11-6⑧" sheetId="27" r:id="rId9"/>
    <sheet name="様式11-6（学校ごとの集計）" sheetId="32" r:id="rId10"/>
    <sheet name="料金単価" sheetId="19" state="hidden" r:id="rId11"/>
    <sheet name="室名リスト" sheetId="20" state="hidden" r:id="rId12"/>
  </sheets>
  <definedNames>
    <definedName name="_1_0T_学校" localSheetId="9">#REF!</definedName>
    <definedName name="_1_0T_学校" localSheetId="2">#REF!</definedName>
    <definedName name="_1_0T_学校" localSheetId="3">#REF!</definedName>
    <definedName name="_1_0T_学校" localSheetId="4">#REF!</definedName>
    <definedName name="_1_0T_学校" localSheetId="6">#REF!</definedName>
    <definedName name="_1_0T_学校" localSheetId="7">#REF!</definedName>
    <definedName name="_1_0T_学校">#REF!</definedName>
    <definedName name="_xlnm._FilterDatabase" localSheetId="11" hidden="1">室名リスト!$A$2:$N$523</definedName>
    <definedName name="EHPIN" localSheetId="9">#REF!</definedName>
    <definedName name="EHPIN" localSheetId="2">#REF!</definedName>
    <definedName name="EHPIN" localSheetId="3">#REF!</definedName>
    <definedName name="EHPIN" localSheetId="4">#REF!</definedName>
    <definedName name="EHPIN" localSheetId="6">#REF!</definedName>
    <definedName name="EHPIN" localSheetId="7">#REF!</definedName>
    <definedName name="EHPIN">#REF!</definedName>
    <definedName name="EHPOUT" localSheetId="9">#REF!</definedName>
    <definedName name="EHPOUT" localSheetId="2">#REF!</definedName>
    <definedName name="EHPOUT" localSheetId="3">#REF!</definedName>
    <definedName name="EHPOUT" localSheetId="4">#REF!</definedName>
    <definedName name="EHPOUT" localSheetId="6">#REF!</definedName>
    <definedName name="EHPOUT" localSheetId="7">#REF!</definedName>
    <definedName name="EHPOUT">#REF!</definedName>
    <definedName name="FAX" localSheetId="9">#REF!</definedName>
    <definedName name="FAX" localSheetId="2">#REF!</definedName>
    <definedName name="FAX" localSheetId="3">#REF!</definedName>
    <definedName name="FAX" localSheetId="4">#REF!</definedName>
    <definedName name="FAX" localSheetId="6">#REF!</definedName>
    <definedName name="FAX" localSheetId="7">#REF!</definedName>
    <definedName name="FAX">#REF!</definedName>
    <definedName name="GHPIN" localSheetId="9">#REF!</definedName>
    <definedName name="GHPIN" localSheetId="2">#REF!</definedName>
    <definedName name="GHPIN" localSheetId="3">#REF!</definedName>
    <definedName name="GHPIN" localSheetId="4">#REF!</definedName>
    <definedName name="GHPIN" localSheetId="6">#REF!</definedName>
    <definedName name="GHPIN" localSheetId="7">#REF!</definedName>
    <definedName name="GHPIN">#REF!</definedName>
    <definedName name="GHPOUT" localSheetId="9">#REF!</definedName>
    <definedName name="GHPOUT" localSheetId="2">#REF!</definedName>
    <definedName name="GHPOUT" localSheetId="3">#REF!</definedName>
    <definedName name="GHPOUT" localSheetId="4">#REF!</definedName>
    <definedName name="GHPOUT" localSheetId="6">#REF!</definedName>
    <definedName name="GHPOUT" localSheetId="7">#REF!</definedName>
    <definedName name="GHPOUT">#REF!</definedName>
    <definedName name="INVIN" localSheetId="9">#REF!</definedName>
    <definedName name="INVIN" localSheetId="2">#REF!</definedName>
    <definedName name="INVIN" localSheetId="3">#REF!</definedName>
    <definedName name="INVIN" localSheetId="4">#REF!</definedName>
    <definedName name="INVIN" localSheetId="6">#REF!</definedName>
    <definedName name="INVIN" localSheetId="7">#REF!</definedName>
    <definedName name="INVIN">#REF!</definedName>
    <definedName name="INVOUT" localSheetId="9">#REF!</definedName>
    <definedName name="INVOUT" localSheetId="2">#REF!</definedName>
    <definedName name="INVOUT" localSheetId="3">#REF!</definedName>
    <definedName name="INVOUT" localSheetId="4">#REF!</definedName>
    <definedName name="INVOUT" localSheetId="6">#REF!</definedName>
    <definedName name="INVOUT" localSheetId="7">#REF!</definedName>
    <definedName name="INVOUT">#REF!</definedName>
    <definedName name="_xlnm.Print_Area" localSheetId="11">室名リスト!$A$1:$G$741</definedName>
    <definedName name="_xlnm.Print_Area" localSheetId="0">'様式11-5'!$A$1:$Z$60</definedName>
    <definedName name="_xlnm.Print_Area" localSheetId="9">'様式11-6（学校ごとの集計）'!$A$1:$AV$180</definedName>
    <definedName name="_xlnm.Print_Area" localSheetId="1">'様式11-6①'!$A$1:$AV$180</definedName>
    <definedName name="_xlnm.Print_Area" localSheetId="2">'様式11-6②'!$A$1:$AV$180</definedName>
    <definedName name="_xlnm.Print_Area" localSheetId="3">'様式11-6③'!$A$1:$AV$180</definedName>
    <definedName name="_xlnm.Print_Area" localSheetId="4">'様式11-6④'!$A$1:$AV$180</definedName>
    <definedName name="_xlnm.Print_Area" localSheetId="5">'様式11-6⑤'!$A$1:$AV$180</definedName>
    <definedName name="_xlnm.Print_Area" localSheetId="6">'様式11-6⑥'!$A$1:$AV$180</definedName>
    <definedName name="_xlnm.Print_Area" localSheetId="7">'様式11-6⑦'!$A$1:$AV$180</definedName>
    <definedName name="_xlnm.Print_Area" localSheetId="8">'様式11-6⑧'!$A$1:$AV$180</definedName>
    <definedName name="_xlnm.Print_Titles" localSheetId="9">'様式11-6（学校ごとの集計）'!$1:$1</definedName>
    <definedName name="_xlnm.Print_Titles" localSheetId="1">'様式11-6①'!$1:$1</definedName>
    <definedName name="_xlnm.Print_Titles" localSheetId="2">'様式11-6②'!$1:$1</definedName>
    <definedName name="_xlnm.Print_Titles" localSheetId="3">'様式11-6③'!$1:$1</definedName>
    <definedName name="_xlnm.Print_Titles" localSheetId="4">'様式11-6④'!$1:$1</definedName>
    <definedName name="_xlnm.Print_Titles" localSheetId="5">'様式11-6⑤'!$1:$1</definedName>
    <definedName name="_xlnm.Print_Titles" localSheetId="6">'様式11-6⑥'!$1:$1</definedName>
    <definedName name="_xlnm.Print_Titles" localSheetId="7">'様式11-6⑦'!$1:$1</definedName>
    <definedName name="_xlnm.Print_Titles" localSheetId="8">'様式11-6⑧'!$1:$1</definedName>
    <definedName name="TEL" localSheetId="9">#REF!</definedName>
    <definedName name="TEL" localSheetId="2">#REF!</definedName>
    <definedName name="TEL" localSheetId="3">#REF!</definedName>
    <definedName name="TEL" localSheetId="4">#REF!</definedName>
    <definedName name="TEL" localSheetId="6">#REF!</definedName>
    <definedName name="TEL" localSheetId="7">#REF!</definedName>
    <definedName name="TEL">#REF!</definedName>
    <definedName name="システム" localSheetId="9">#REF!</definedName>
    <definedName name="システム" localSheetId="2">#REF!</definedName>
    <definedName name="システム" localSheetId="3">#REF!</definedName>
    <definedName name="システム" localSheetId="4">#REF!</definedName>
    <definedName name="システム" localSheetId="6">#REF!</definedName>
    <definedName name="システム" localSheetId="7">#REF!</definedName>
    <definedName name="システム">#REF!</definedName>
    <definedName name="回答部署" localSheetId="9">#REF!</definedName>
    <definedName name="回答部署" localSheetId="2">#REF!</definedName>
    <definedName name="回答部署" localSheetId="3">#REF!</definedName>
    <definedName name="回答部署" localSheetId="4">#REF!</definedName>
    <definedName name="回答部署" localSheetId="6">#REF!</definedName>
    <definedName name="回答部署" localSheetId="7">#REF!</definedName>
    <definedName name="回答部署">#REF!</definedName>
    <definedName name="関連項目" localSheetId="9">#REF!</definedName>
    <definedName name="関連項目" localSheetId="2">#REF!</definedName>
    <definedName name="関連項目" localSheetId="3">#REF!</definedName>
    <definedName name="関連項目" localSheetId="4">#REF!</definedName>
    <definedName name="関連項目" localSheetId="6">#REF!</definedName>
    <definedName name="関連項目" localSheetId="7">#REF!</definedName>
    <definedName name="関連項目">#REF!</definedName>
    <definedName name="支店" localSheetId="9">#REF!</definedName>
    <definedName name="支店" localSheetId="2">#REF!</definedName>
    <definedName name="支店" localSheetId="3">#REF!</definedName>
    <definedName name="支店" localSheetId="4">#REF!</definedName>
    <definedName name="支店" localSheetId="6">#REF!</definedName>
    <definedName name="支店" localSheetId="7">#REF!</definedName>
    <definedName name="支店">#REF!</definedName>
    <definedName name="電源" localSheetId="9">#REF!</definedName>
    <definedName name="電源" localSheetId="2">#REF!</definedName>
    <definedName name="電源" localSheetId="3">#REF!</definedName>
    <definedName name="電源" localSheetId="4">#REF!</definedName>
    <definedName name="電源" localSheetId="6">#REF!</definedName>
    <definedName name="電源" localSheetId="7">#REF!</definedName>
    <definedName name="電源">#REF!</definedName>
    <definedName name="日付" localSheetId="9">#REF!</definedName>
    <definedName name="日付" localSheetId="2">#REF!</definedName>
    <definedName name="日付" localSheetId="3">#REF!</definedName>
    <definedName name="日付" localSheetId="4">#REF!</definedName>
    <definedName name="日付" localSheetId="6">#REF!</definedName>
    <definedName name="日付" localSheetId="7">#REF!</definedName>
    <definedName name="日付">#REF!</definedName>
    <definedName name="標準" localSheetId="9">#REF!</definedName>
    <definedName name="標準" localSheetId="2">#REF!</definedName>
    <definedName name="標準" localSheetId="3">#REF!</definedName>
    <definedName name="標準" localSheetId="4">#REF!</definedName>
    <definedName name="標準" localSheetId="6">#REF!</definedName>
    <definedName name="標準" localSheetId="7">#REF!</definedName>
    <definedName name="標準">#REF!</definedName>
    <definedName name="補助キーワード" localSheetId="9">#REF!</definedName>
    <definedName name="補助キーワード" localSheetId="2">#REF!</definedName>
    <definedName name="補助キーワード" localSheetId="3">#REF!</definedName>
    <definedName name="補助キーワード" localSheetId="4">#REF!</definedName>
    <definedName name="補助キーワード" localSheetId="6">#REF!</definedName>
    <definedName name="補助キーワード" localSheetId="7">#REF!</definedName>
    <definedName name="補助キーワード">#REF!</definedName>
    <definedName name="問合せ部署" localSheetId="9">#REF!</definedName>
    <definedName name="問合せ部署" localSheetId="2">#REF!</definedName>
    <definedName name="問合せ部署" localSheetId="3">#REF!</definedName>
    <definedName name="問合せ部署" localSheetId="4">#REF!</definedName>
    <definedName name="問合せ部署" localSheetId="6">#REF!</definedName>
    <definedName name="問合せ部署" localSheetId="7">#REF!</definedName>
    <definedName name="問合せ部署">#REF!</definedName>
    <definedName name="用途" localSheetId="9">#REF!</definedName>
    <definedName name="用途" localSheetId="2">#REF!</definedName>
    <definedName name="用途" localSheetId="3">#REF!</definedName>
    <definedName name="用途" localSheetId="4">#REF!</definedName>
    <definedName name="用途" localSheetId="6">#REF!</definedName>
    <definedName name="用途" localSheetId="7">#REF!</definedName>
    <definedName name="用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20" l="1"/>
  <c r="Q57" i="20"/>
  <c r="S57" i="20" s="1"/>
  <c r="Q4" i="20"/>
  <c r="S4" i="20" s="1"/>
  <c r="Q5" i="20"/>
  <c r="S5" i="20" s="1"/>
  <c r="Q6" i="20"/>
  <c r="S6" i="20" s="1"/>
  <c r="Q7" i="20"/>
  <c r="S7" i="20" s="1"/>
  <c r="Q8" i="20"/>
  <c r="S8" i="20" s="1"/>
  <c r="Q9" i="20"/>
  <c r="S9" i="20" s="1"/>
  <c r="Q10" i="20"/>
  <c r="S10" i="20" s="1"/>
  <c r="Q11" i="20"/>
  <c r="S11" i="20" s="1"/>
  <c r="Q12" i="20"/>
  <c r="S12" i="20" s="1"/>
  <c r="Q13" i="20"/>
  <c r="S13" i="20" s="1"/>
  <c r="Q14" i="20"/>
  <c r="S14" i="20" s="1"/>
  <c r="Q15" i="20"/>
  <c r="S15" i="20" s="1"/>
  <c r="Q16" i="20"/>
  <c r="S16" i="20" s="1"/>
  <c r="Q17" i="20"/>
  <c r="S17" i="20" s="1"/>
  <c r="Q18" i="20"/>
  <c r="S18" i="20" s="1"/>
  <c r="Q19" i="20"/>
  <c r="Q20" i="20"/>
  <c r="S20" i="20" s="1"/>
  <c r="Q21" i="20"/>
  <c r="S21" i="20" s="1"/>
  <c r="Q22" i="20"/>
  <c r="S22" i="20" s="1"/>
  <c r="Q23" i="20"/>
  <c r="S23" i="20" s="1"/>
  <c r="Q24" i="20"/>
  <c r="S24" i="20" s="1"/>
  <c r="Q25" i="20"/>
  <c r="S25" i="20" s="1"/>
  <c r="Q26" i="20"/>
  <c r="S26" i="20" s="1"/>
  <c r="Q27" i="20"/>
  <c r="S27" i="20" s="1"/>
  <c r="Q28" i="20"/>
  <c r="S28" i="20" s="1"/>
  <c r="Q29" i="20"/>
  <c r="S29" i="20" s="1"/>
  <c r="Q30" i="20"/>
  <c r="S30" i="20" s="1"/>
  <c r="Q31" i="20"/>
  <c r="S31" i="20" s="1"/>
  <c r="Q32" i="20"/>
  <c r="S32" i="20" s="1"/>
  <c r="Q33" i="20"/>
  <c r="S33" i="20" s="1"/>
  <c r="Q34" i="20"/>
  <c r="S34" i="20" s="1"/>
  <c r="Q35" i="20"/>
  <c r="S35" i="20" s="1"/>
  <c r="Q36" i="20"/>
  <c r="S36" i="20" s="1"/>
  <c r="Q37" i="20"/>
  <c r="S37" i="20" s="1"/>
  <c r="Q38" i="20"/>
  <c r="S38" i="20" s="1"/>
  <c r="Q39" i="20"/>
  <c r="S39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Q47" i="20"/>
  <c r="S47" i="20" s="1"/>
  <c r="Q48" i="20"/>
  <c r="S48" i="20" s="1"/>
  <c r="Q49" i="20"/>
  <c r="S49" i="20" s="1"/>
  <c r="Q50" i="20"/>
  <c r="S50" i="20" s="1"/>
  <c r="Q51" i="20"/>
  <c r="S51" i="20" s="1"/>
  <c r="Q52" i="20"/>
  <c r="S52" i="20" s="1"/>
  <c r="Q53" i="20"/>
  <c r="S53" i="20" s="1"/>
  <c r="Q54" i="20"/>
  <c r="S54" i="20" s="1"/>
  <c r="Q55" i="20"/>
  <c r="S55" i="20" s="1"/>
  <c r="Q56" i="20"/>
  <c r="S56" i="20" s="1"/>
  <c r="Q3" i="20"/>
  <c r="S3" i="20" s="1"/>
  <c r="D418" i="20"/>
  <c r="D328" i="20" l="1"/>
  <c r="D327" i="20"/>
  <c r="W27" i="28" l="1"/>
  <c r="W27" i="32" s="1"/>
  <c r="W38" i="32" s="1"/>
  <c r="AN155" i="27"/>
  <c r="AN152" i="27"/>
  <c r="AN148" i="27"/>
  <c r="AN89" i="27"/>
  <c r="AN86" i="27"/>
  <c r="AN82" i="27"/>
  <c r="AN155" i="30"/>
  <c r="AN152" i="30"/>
  <c r="AN148" i="30"/>
  <c r="AN89" i="30"/>
  <c r="AN86" i="30"/>
  <c r="AN82" i="30"/>
  <c r="AN155" i="31"/>
  <c r="AN152" i="31"/>
  <c r="AN148" i="31"/>
  <c r="AN89" i="31"/>
  <c r="AN86" i="31"/>
  <c r="AN82" i="31"/>
  <c r="AN89" i="26"/>
  <c r="AN86" i="26"/>
  <c r="AN82" i="26"/>
  <c r="AN89" i="29"/>
  <c r="AN86" i="29"/>
  <c r="AN82" i="29"/>
  <c r="AN89" i="28"/>
  <c r="AN86" i="28"/>
  <c r="AN82" i="28"/>
  <c r="AN89" i="14"/>
  <c r="AN86" i="14"/>
  <c r="AN82" i="14"/>
  <c r="AN89" i="13"/>
  <c r="AN86" i="13"/>
  <c r="AN82" i="13"/>
  <c r="AN155" i="26"/>
  <c r="AN152" i="26"/>
  <c r="AN148" i="26"/>
  <c r="AN155" i="29"/>
  <c r="AN152" i="29"/>
  <c r="AN148" i="29"/>
  <c r="AN155" i="28"/>
  <c r="AN152" i="28"/>
  <c r="AN148" i="28"/>
  <c r="AN155" i="14"/>
  <c r="AN152" i="14"/>
  <c r="AN148" i="14"/>
  <c r="AN155" i="13"/>
  <c r="AN152" i="13"/>
  <c r="AN141" i="13"/>
  <c r="AN148" i="13"/>
  <c r="AN137" i="13"/>
  <c r="L115" i="12"/>
  <c r="L114" i="12"/>
  <c r="L113" i="12"/>
  <c r="L112" i="12"/>
  <c r="L111" i="12"/>
  <c r="L110" i="12"/>
  <c r="L109" i="12"/>
  <c r="L108" i="12"/>
  <c r="K115" i="12"/>
  <c r="K114" i="12"/>
  <c r="K113" i="12"/>
  <c r="K112" i="12"/>
  <c r="K111" i="12"/>
  <c r="K110" i="12"/>
  <c r="K109" i="12"/>
  <c r="K108" i="12"/>
  <c r="T115" i="12"/>
  <c r="T114" i="12"/>
  <c r="T113" i="12"/>
  <c r="T112" i="12"/>
  <c r="T111" i="12"/>
  <c r="T110" i="12"/>
  <c r="T109" i="12"/>
  <c r="T108" i="12"/>
  <c r="R115" i="12"/>
  <c r="R114" i="12"/>
  <c r="R113" i="12"/>
  <c r="R112" i="12"/>
  <c r="R111" i="12"/>
  <c r="R110" i="12"/>
  <c r="R109" i="12"/>
  <c r="R108" i="12"/>
  <c r="Q115" i="12"/>
  <c r="Q114" i="12"/>
  <c r="Q113" i="12"/>
  <c r="Q112" i="12"/>
  <c r="Q111" i="12"/>
  <c r="Q110" i="12"/>
  <c r="Q109" i="12"/>
  <c r="Q108" i="12"/>
  <c r="T99" i="12"/>
  <c r="T98" i="12"/>
  <c r="T97" i="12"/>
  <c r="T96" i="12"/>
  <c r="T95" i="12"/>
  <c r="R97" i="12"/>
  <c r="R96" i="12"/>
  <c r="R95" i="12"/>
  <c r="R94" i="12"/>
  <c r="R93" i="12"/>
  <c r="R92" i="12"/>
  <c r="T94" i="12"/>
  <c r="T93" i="12"/>
  <c r="T92" i="12"/>
  <c r="T107" i="12"/>
  <c r="T106" i="12"/>
  <c r="T105" i="12"/>
  <c r="T104" i="12"/>
  <c r="T103" i="12"/>
  <c r="T102" i="12"/>
  <c r="T101" i="12"/>
  <c r="T100" i="12"/>
  <c r="R107" i="12"/>
  <c r="R106" i="12"/>
  <c r="R105" i="12"/>
  <c r="R104" i="12"/>
  <c r="R103" i="12"/>
  <c r="R102" i="12"/>
  <c r="R101" i="12"/>
  <c r="R100" i="12"/>
  <c r="S61" i="14"/>
  <c r="AD22" i="27"/>
  <c r="T22" i="27"/>
  <c r="AD22" i="30"/>
  <c r="T22" i="30"/>
  <c r="AD22" i="31"/>
  <c r="T22" i="31"/>
  <c r="AD22" i="26"/>
  <c r="T22" i="26"/>
  <c r="AD22" i="29"/>
  <c r="T22" i="29"/>
  <c r="AD22" i="28"/>
  <c r="T22" i="28"/>
  <c r="AD22" i="14"/>
  <c r="T22" i="14"/>
  <c r="W32" i="32" l="1"/>
  <c r="W32" i="14"/>
  <c r="W32" i="28"/>
  <c r="W32" i="29"/>
  <c r="W32" i="26"/>
  <c r="W32" i="31"/>
  <c r="W32" i="30"/>
  <c r="W32" i="27"/>
  <c r="W32" i="13"/>
  <c r="X156" i="32" l="1"/>
  <c r="X145" i="32"/>
  <c r="X90" i="32"/>
  <c r="X79" i="32"/>
  <c r="S149" i="32"/>
  <c r="S138" i="32"/>
  <c r="S127" i="32"/>
  <c r="S116" i="32"/>
  <c r="S105" i="32"/>
  <c r="S94" i="32"/>
  <c r="S83" i="32"/>
  <c r="S72" i="32"/>
  <c r="S61" i="32"/>
  <c r="S50" i="32"/>
  <c r="S39" i="32"/>
  <c r="S149" i="14"/>
  <c r="S149" i="28"/>
  <c r="S149" i="29"/>
  <c r="S149" i="26"/>
  <c r="S149" i="31"/>
  <c r="S149" i="30"/>
  <c r="S149" i="27"/>
  <c r="S149" i="13"/>
  <c r="S138" i="14"/>
  <c r="S138" i="28"/>
  <c r="S138" i="29"/>
  <c r="S138" i="26"/>
  <c r="S138" i="31"/>
  <c r="S138" i="30"/>
  <c r="S138" i="27"/>
  <c r="S138" i="13"/>
  <c r="S127" i="14"/>
  <c r="S127" i="28"/>
  <c r="S127" i="29"/>
  <c r="S127" i="26"/>
  <c r="S127" i="31"/>
  <c r="S127" i="30"/>
  <c r="S127" i="27"/>
  <c r="S127" i="13"/>
  <c r="S116" i="14"/>
  <c r="S116" i="28"/>
  <c r="S116" i="29"/>
  <c r="S116" i="26"/>
  <c r="S116" i="31"/>
  <c r="S116" i="30"/>
  <c r="S116" i="27"/>
  <c r="S116" i="13"/>
  <c r="S105" i="14"/>
  <c r="S105" i="28"/>
  <c r="S105" i="29"/>
  <c r="S105" i="26"/>
  <c r="S105" i="31"/>
  <c r="S105" i="30"/>
  <c r="S105" i="27"/>
  <c r="S105" i="13"/>
  <c r="S94" i="14"/>
  <c r="S94" i="28"/>
  <c r="S94" i="29"/>
  <c r="S94" i="26"/>
  <c r="S94" i="31"/>
  <c r="S94" i="30"/>
  <c r="S94" i="27"/>
  <c r="S94" i="13"/>
  <c r="S83" i="14"/>
  <c r="S83" i="28"/>
  <c r="S83" i="29"/>
  <c r="S83" i="26"/>
  <c r="S83" i="31"/>
  <c r="S83" i="30"/>
  <c r="S83" i="27"/>
  <c r="S83" i="13"/>
  <c r="S72" i="14"/>
  <c r="S72" i="28"/>
  <c r="S72" i="29"/>
  <c r="S72" i="26"/>
  <c r="S72" i="31"/>
  <c r="S72" i="30"/>
  <c r="S72" i="27"/>
  <c r="S72" i="13"/>
  <c r="S61" i="28"/>
  <c r="S61" i="29"/>
  <c r="S61" i="26"/>
  <c r="S61" i="31"/>
  <c r="S61" i="30"/>
  <c r="S61" i="27"/>
  <c r="S61" i="13"/>
  <c r="S50" i="14"/>
  <c r="S50" i="28"/>
  <c r="S50" i="29"/>
  <c r="S50" i="26"/>
  <c r="S50" i="31"/>
  <c r="S50" i="30"/>
  <c r="S50" i="27"/>
  <c r="S50" i="13"/>
  <c r="S39" i="14"/>
  <c r="S39" i="28"/>
  <c r="S39" i="29"/>
  <c r="S39" i="26"/>
  <c r="S39" i="31"/>
  <c r="S39" i="30"/>
  <c r="S39" i="27"/>
  <c r="S39" i="13"/>
  <c r="R35" i="14"/>
  <c r="R35" i="28"/>
  <c r="R35" i="29"/>
  <c r="R35" i="26"/>
  <c r="R35" i="31"/>
  <c r="R35" i="30"/>
  <c r="R35" i="27"/>
  <c r="R35" i="13"/>
  <c r="W28" i="14"/>
  <c r="W28" i="28"/>
  <c r="W28" i="29"/>
  <c r="W28" i="26"/>
  <c r="W28" i="31"/>
  <c r="W28" i="30"/>
  <c r="W28" i="27"/>
  <c r="W28" i="13"/>
  <c r="U28" i="14"/>
  <c r="U28" i="28"/>
  <c r="U28" i="29"/>
  <c r="U28" i="26"/>
  <c r="U28" i="31"/>
  <c r="U28" i="30"/>
  <c r="U28" i="27"/>
  <c r="U28" i="13"/>
  <c r="S28" i="14"/>
  <c r="S28" i="28"/>
  <c r="S28" i="29"/>
  <c r="S28" i="26"/>
  <c r="S28" i="31"/>
  <c r="S28" i="30"/>
  <c r="S28" i="27"/>
  <c r="S28" i="13"/>
  <c r="AD22" i="13"/>
  <c r="T22" i="13"/>
  <c r="T23" i="12"/>
  <c r="Q23" i="12"/>
  <c r="D471" i="20"/>
  <c r="D425" i="20"/>
  <c r="H424" i="20"/>
  <c r="G424" i="20"/>
  <c r="D424" i="20"/>
  <c r="D415" i="20"/>
  <c r="D393" i="20"/>
  <c r="H392" i="20"/>
  <c r="G392" i="20"/>
  <c r="D392" i="20"/>
  <c r="D351" i="20"/>
  <c r="H350" i="20"/>
  <c r="G350" i="20"/>
  <c r="D350" i="20"/>
  <c r="D339" i="20"/>
  <c r="G150" i="20"/>
  <c r="G151" i="20"/>
  <c r="G153" i="20"/>
  <c r="G154" i="20"/>
  <c r="G155" i="20"/>
  <c r="G159" i="20"/>
  <c r="G160" i="20"/>
  <c r="G161" i="20"/>
  <c r="G162" i="20"/>
  <c r="G164" i="20"/>
  <c r="G165" i="20"/>
  <c r="G166" i="20"/>
  <c r="G173" i="20"/>
  <c r="G174" i="20"/>
  <c r="G176" i="20"/>
  <c r="G177" i="20"/>
  <c r="G178" i="20"/>
  <c r="G185" i="20"/>
  <c r="G186" i="20"/>
  <c r="G187" i="20"/>
  <c r="G188" i="20"/>
  <c r="G192" i="20"/>
  <c r="G193" i="20"/>
  <c r="G195" i="20"/>
  <c r="G201" i="20"/>
  <c r="G202" i="20"/>
  <c r="G203" i="20"/>
  <c r="G204" i="20"/>
  <c r="G205" i="20"/>
  <c r="G209" i="20"/>
  <c r="G211" i="20"/>
  <c r="G215" i="20"/>
  <c r="G217" i="20"/>
  <c r="G218" i="20"/>
  <c r="G219" i="20"/>
  <c r="G222" i="20"/>
  <c r="G223" i="20"/>
  <c r="G226" i="20"/>
  <c r="G227" i="20"/>
  <c r="G232" i="20"/>
  <c r="G233" i="20"/>
  <c r="G234" i="20"/>
  <c r="G235" i="20"/>
  <c r="G239" i="20"/>
  <c r="G240" i="20"/>
  <c r="G241" i="20"/>
  <c r="G242" i="20"/>
  <c r="G245" i="20"/>
  <c r="G250" i="20"/>
  <c r="G251" i="20"/>
  <c r="G252" i="20"/>
  <c r="G253" i="20"/>
  <c r="G256" i="20"/>
  <c r="G258" i="20"/>
  <c r="G261" i="20"/>
  <c r="G262" i="20"/>
  <c r="G264" i="20"/>
  <c r="G265" i="20"/>
  <c r="G270" i="20"/>
  <c r="G271" i="20"/>
  <c r="G272" i="20"/>
  <c r="G278" i="20"/>
  <c r="G279" i="20"/>
  <c r="G280" i="20"/>
  <c r="G282" i="20"/>
  <c r="G286" i="20"/>
  <c r="G287" i="20"/>
  <c r="G288" i="20"/>
  <c r="G289" i="20"/>
  <c r="G290" i="20"/>
  <c r="G292" i="20"/>
  <c r="G293" i="20"/>
  <c r="G294" i="20"/>
  <c r="G295" i="20"/>
  <c r="G296" i="20"/>
  <c r="G298" i="20"/>
  <c r="G303" i="20"/>
  <c r="G304" i="20"/>
  <c r="G307" i="20"/>
  <c r="G308" i="20"/>
  <c r="G312" i="20"/>
  <c r="G313" i="20"/>
  <c r="G316" i="20"/>
  <c r="G331" i="20"/>
  <c r="G332" i="20"/>
  <c r="G333" i="20"/>
  <c r="G334" i="20"/>
  <c r="G340" i="20"/>
  <c r="G348" i="20"/>
  <c r="G349" i="20"/>
  <c r="G352" i="20"/>
  <c r="G353" i="20"/>
  <c r="G354" i="20"/>
  <c r="G356" i="20"/>
  <c r="G357" i="20"/>
  <c r="G360" i="20"/>
  <c r="G361" i="20"/>
  <c r="G362" i="20"/>
  <c r="G363" i="20"/>
  <c r="G364" i="20"/>
  <c r="G365" i="20"/>
  <c r="G366" i="20"/>
  <c r="G369" i="20"/>
  <c r="G370" i="20"/>
  <c r="G371" i="20"/>
  <c r="G372" i="20"/>
  <c r="G373" i="20"/>
  <c r="G377" i="20"/>
  <c r="G381" i="20"/>
  <c r="G382" i="20"/>
  <c r="G383" i="20"/>
  <c r="G385" i="20"/>
  <c r="G386" i="20"/>
  <c r="G388" i="20"/>
  <c r="G396" i="20"/>
  <c r="G399" i="20"/>
  <c r="G400" i="20"/>
  <c r="G403" i="20"/>
  <c r="G404" i="20"/>
  <c r="G406" i="20"/>
  <c r="G407" i="20"/>
  <c r="G409" i="20"/>
  <c r="G410" i="20"/>
  <c r="G411" i="20"/>
  <c r="G412" i="20"/>
  <c r="G413" i="20"/>
  <c r="G416" i="20"/>
  <c r="G421" i="20"/>
  <c r="G423" i="20"/>
  <c r="G426" i="20"/>
  <c r="G427" i="20"/>
  <c r="G434" i="20"/>
  <c r="G436" i="20"/>
  <c r="G437" i="20"/>
  <c r="G438" i="20"/>
  <c r="G440" i="20"/>
  <c r="G445" i="20"/>
  <c r="G447" i="20"/>
  <c r="G448" i="20"/>
  <c r="G452" i="20"/>
  <c r="G455" i="20"/>
  <c r="G459" i="20"/>
  <c r="G460" i="20"/>
  <c r="G461" i="20"/>
  <c r="G462" i="20"/>
  <c r="G463" i="20"/>
  <c r="G465" i="20"/>
  <c r="G472" i="20"/>
  <c r="G473" i="20"/>
  <c r="G475" i="20"/>
  <c r="G476" i="20"/>
  <c r="G479" i="20"/>
  <c r="G480" i="20"/>
  <c r="G481" i="20"/>
  <c r="G482" i="20"/>
  <c r="G485" i="20"/>
  <c r="G491" i="20"/>
  <c r="G492" i="20"/>
  <c r="G494" i="20"/>
  <c r="G503" i="20"/>
  <c r="G504" i="20"/>
  <c r="G506" i="20"/>
  <c r="G507" i="20"/>
  <c r="G514" i="20"/>
  <c r="G516" i="20"/>
  <c r="G518" i="20"/>
  <c r="G149" i="20"/>
  <c r="H150" i="20"/>
  <c r="H151" i="20"/>
  <c r="H153" i="20"/>
  <c r="H154" i="20"/>
  <c r="H155" i="20"/>
  <c r="H159" i="20"/>
  <c r="H160" i="20"/>
  <c r="H161" i="20"/>
  <c r="H162" i="20"/>
  <c r="H164" i="20"/>
  <c r="H165" i="20"/>
  <c r="H166" i="20"/>
  <c r="H173" i="20"/>
  <c r="H174" i="20"/>
  <c r="H176" i="20"/>
  <c r="H177" i="20"/>
  <c r="H178" i="20"/>
  <c r="H185" i="20"/>
  <c r="H186" i="20"/>
  <c r="H187" i="20"/>
  <c r="H188" i="20"/>
  <c r="H192" i="20"/>
  <c r="H193" i="20"/>
  <c r="H195" i="20"/>
  <c r="H201" i="20"/>
  <c r="H202" i="20"/>
  <c r="H203" i="20"/>
  <c r="H204" i="20"/>
  <c r="H205" i="20"/>
  <c r="H209" i="20"/>
  <c r="H211" i="20"/>
  <c r="H215" i="20"/>
  <c r="H217" i="20"/>
  <c r="H218" i="20"/>
  <c r="H219" i="20"/>
  <c r="H222" i="20"/>
  <c r="H223" i="20"/>
  <c r="H226" i="20"/>
  <c r="H227" i="20"/>
  <c r="H232" i="20"/>
  <c r="H233" i="20"/>
  <c r="H234" i="20"/>
  <c r="H235" i="20"/>
  <c r="H239" i="20"/>
  <c r="H240" i="20"/>
  <c r="H241" i="20"/>
  <c r="H242" i="20"/>
  <c r="H245" i="20"/>
  <c r="H250" i="20"/>
  <c r="H251" i="20"/>
  <c r="H252" i="20"/>
  <c r="H253" i="20"/>
  <c r="H256" i="20"/>
  <c r="H258" i="20"/>
  <c r="H261" i="20"/>
  <c r="H262" i="20"/>
  <c r="H264" i="20"/>
  <c r="H265" i="20"/>
  <c r="H270" i="20"/>
  <c r="H271" i="20"/>
  <c r="H272" i="20"/>
  <c r="H278" i="20"/>
  <c r="H279" i="20"/>
  <c r="H280" i="20"/>
  <c r="H282" i="20"/>
  <c r="H286" i="20"/>
  <c r="H287" i="20"/>
  <c r="H288" i="20"/>
  <c r="H289" i="20"/>
  <c r="H290" i="20"/>
  <c r="H292" i="20"/>
  <c r="H293" i="20"/>
  <c r="H294" i="20"/>
  <c r="H295" i="20"/>
  <c r="H296" i="20"/>
  <c r="H298" i="20"/>
  <c r="H303" i="20"/>
  <c r="H304" i="20"/>
  <c r="H307" i="20"/>
  <c r="H308" i="20"/>
  <c r="H312" i="20"/>
  <c r="H313" i="20"/>
  <c r="H316" i="20"/>
  <c r="H331" i="20"/>
  <c r="H332" i="20"/>
  <c r="H333" i="20"/>
  <c r="H334" i="20"/>
  <c r="H340" i="20"/>
  <c r="H348" i="20"/>
  <c r="H349" i="20"/>
  <c r="H352" i="20"/>
  <c r="H353" i="20"/>
  <c r="H354" i="20"/>
  <c r="H356" i="20"/>
  <c r="H357" i="20"/>
  <c r="H360" i="20"/>
  <c r="H361" i="20"/>
  <c r="H362" i="20"/>
  <c r="H363" i="20"/>
  <c r="H364" i="20"/>
  <c r="H365" i="20"/>
  <c r="H366" i="20"/>
  <c r="H369" i="20"/>
  <c r="H370" i="20"/>
  <c r="H371" i="20"/>
  <c r="H372" i="20"/>
  <c r="H373" i="20"/>
  <c r="H377" i="20"/>
  <c r="H381" i="20"/>
  <c r="H382" i="20"/>
  <c r="H383" i="20"/>
  <c r="H385" i="20"/>
  <c r="H386" i="20"/>
  <c r="H388" i="20"/>
  <c r="H396" i="20"/>
  <c r="H399" i="20"/>
  <c r="H400" i="20"/>
  <c r="H403" i="20"/>
  <c r="H404" i="20"/>
  <c r="H406" i="20"/>
  <c r="H407" i="20"/>
  <c r="H409" i="20"/>
  <c r="H410" i="20"/>
  <c r="H411" i="20"/>
  <c r="H412" i="20"/>
  <c r="H413" i="20"/>
  <c r="H416" i="20"/>
  <c r="H421" i="20"/>
  <c r="H423" i="20"/>
  <c r="H426" i="20"/>
  <c r="H427" i="20"/>
  <c r="H434" i="20"/>
  <c r="H436" i="20"/>
  <c r="H437" i="20"/>
  <c r="H438" i="20"/>
  <c r="H440" i="20"/>
  <c r="H445" i="20"/>
  <c r="H447" i="20"/>
  <c r="H448" i="20"/>
  <c r="H452" i="20"/>
  <c r="H455" i="20"/>
  <c r="H459" i="20"/>
  <c r="H460" i="20"/>
  <c r="H461" i="20"/>
  <c r="H462" i="20"/>
  <c r="H463" i="20"/>
  <c r="H465" i="20"/>
  <c r="H472" i="20"/>
  <c r="H473" i="20"/>
  <c r="H475" i="20"/>
  <c r="H476" i="20"/>
  <c r="H479" i="20"/>
  <c r="H480" i="20"/>
  <c r="H481" i="20"/>
  <c r="H482" i="20"/>
  <c r="H485" i="20"/>
  <c r="H491" i="20"/>
  <c r="H492" i="20"/>
  <c r="H494" i="20"/>
  <c r="H503" i="20"/>
  <c r="H504" i="20"/>
  <c r="H506" i="20"/>
  <c r="H507" i="20"/>
  <c r="H514" i="20"/>
  <c r="H516" i="20"/>
  <c r="H518" i="20"/>
  <c r="H149" i="20"/>
  <c r="H146" i="20"/>
  <c r="H141" i="20"/>
  <c r="H142" i="20"/>
  <c r="H143" i="20"/>
  <c r="H140" i="20"/>
  <c r="D132" i="20"/>
  <c r="D125" i="20"/>
  <c r="X1" i="13" l="1"/>
  <c r="AB11" i="13" s="1"/>
  <c r="J11" i="13" l="1"/>
  <c r="N11" i="13"/>
  <c r="L11" i="13"/>
  <c r="P11" i="13"/>
  <c r="V11" i="13"/>
  <c r="X11" i="13"/>
  <c r="Z11" i="13"/>
  <c r="D42" i="20"/>
  <c r="D41" i="20"/>
  <c r="D40" i="20"/>
  <c r="X1" i="14"/>
  <c r="T15" i="13"/>
  <c r="J11" i="14" l="1"/>
  <c r="N11" i="14"/>
  <c r="AB11" i="14"/>
  <c r="Z11" i="14"/>
  <c r="X11" i="14"/>
  <c r="V11" i="14"/>
  <c r="P11" i="14"/>
  <c r="L11" i="14"/>
  <c r="W28" i="32"/>
  <c r="W39" i="32" s="1"/>
  <c r="U28" i="32"/>
  <c r="S28" i="32"/>
  <c r="AD15" i="13" l="1"/>
  <c r="X1" i="32"/>
  <c r="M1" i="32"/>
  <c r="AN171" i="32"/>
  <c r="AN167" i="32"/>
  <c r="X157" i="32"/>
  <c r="W149" i="32"/>
  <c r="U149" i="32"/>
  <c r="X146" i="32"/>
  <c r="W138" i="32"/>
  <c r="U138" i="32"/>
  <c r="AN133" i="32"/>
  <c r="AN130" i="32"/>
  <c r="W127" i="32"/>
  <c r="U127" i="32"/>
  <c r="AN126" i="32"/>
  <c r="AN122" i="32"/>
  <c r="AN119" i="32"/>
  <c r="W116" i="32"/>
  <c r="U116" i="32"/>
  <c r="AN115" i="32"/>
  <c r="AN111" i="32"/>
  <c r="AN108" i="32"/>
  <c r="W105" i="32"/>
  <c r="U105" i="32"/>
  <c r="AN104" i="32"/>
  <c r="AN100" i="32"/>
  <c r="AN97" i="32"/>
  <c r="W94" i="32"/>
  <c r="U94" i="32"/>
  <c r="AN93" i="32"/>
  <c r="X91" i="32"/>
  <c r="AN89" i="32"/>
  <c r="W83" i="32"/>
  <c r="U83" i="32"/>
  <c r="X80" i="32"/>
  <c r="W72" i="32"/>
  <c r="U72" i="32"/>
  <c r="AN67" i="32"/>
  <c r="AN64" i="32"/>
  <c r="W61" i="32"/>
  <c r="U61" i="32"/>
  <c r="AN60" i="32"/>
  <c r="W50" i="32"/>
  <c r="U50" i="32"/>
  <c r="AN45" i="32"/>
  <c r="AN155" i="32" s="1"/>
  <c r="W43" i="32"/>
  <c r="W54" i="32" s="1"/>
  <c r="W65" i="32" s="1"/>
  <c r="W76" i="32" s="1"/>
  <c r="W87" i="32" s="1"/>
  <c r="W98" i="32" s="1"/>
  <c r="W109" i="32" s="1"/>
  <c r="W120" i="32" s="1"/>
  <c r="W131" i="32" s="1"/>
  <c r="W142" i="32" s="1"/>
  <c r="W153" i="32" s="1"/>
  <c r="AN42" i="32"/>
  <c r="U39" i="32"/>
  <c r="AN38" i="32"/>
  <c r="R35" i="32"/>
  <c r="R156" i="32" s="1"/>
  <c r="AN171" i="31"/>
  <c r="AN167" i="31"/>
  <c r="AN161" i="31"/>
  <c r="W149" i="31"/>
  <c r="U149" i="31"/>
  <c r="W138" i="31"/>
  <c r="U138" i="31"/>
  <c r="AN133" i="31"/>
  <c r="AN130" i="31"/>
  <c r="W127" i="31"/>
  <c r="U127" i="31"/>
  <c r="AN126" i="31"/>
  <c r="AN122" i="31"/>
  <c r="AN119" i="31"/>
  <c r="W116" i="31"/>
  <c r="U116" i="31"/>
  <c r="AN115" i="31"/>
  <c r="AN111" i="31"/>
  <c r="AN108" i="31"/>
  <c r="W105" i="31"/>
  <c r="U105" i="31"/>
  <c r="AN104" i="31"/>
  <c r="AN100" i="31"/>
  <c r="AN97" i="31"/>
  <c r="W94" i="31"/>
  <c r="U94" i="31"/>
  <c r="AN93" i="31"/>
  <c r="W83" i="31"/>
  <c r="U83" i="31"/>
  <c r="W72" i="31"/>
  <c r="U72" i="31"/>
  <c r="AN67" i="31"/>
  <c r="AN64" i="31"/>
  <c r="W61" i="31"/>
  <c r="U61" i="31"/>
  <c r="AN60" i="31"/>
  <c r="W50" i="31"/>
  <c r="U50" i="31"/>
  <c r="AN45" i="31"/>
  <c r="AN144" i="31" s="1"/>
  <c r="W43" i="31"/>
  <c r="W54" i="31" s="1"/>
  <c r="W65" i="31" s="1"/>
  <c r="W76" i="31" s="1"/>
  <c r="W87" i="31" s="1"/>
  <c r="W98" i="31" s="1"/>
  <c r="W109" i="31" s="1"/>
  <c r="W120" i="31" s="1"/>
  <c r="W131" i="31" s="1"/>
  <c r="W142" i="31" s="1"/>
  <c r="W153" i="31" s="1"/>
  <c r="AN42" i="31"/>
  <c r="W39" i="31"/>
  <c r="U39" i="31"/>
  <c r="AN38" i="31"/>
  <c r="AN71" i="31" s="1"/>
  <c r="R156" i="31"/>
  <c r="S141" i="31"/>
  <c r="S86" i="31"/>
  <c r="AD15" i="31"/>
  <c r="T15" i="31"/>
  <c r="AF10" i="31"/>
  <c r="AF13" i="31" s="1"/>
  <c r="AF22" i="31" s="1"/>
  <c r="AB10" i="31"/>
  <c r="Z10" i="31"/>
  <c r="X10" i="31"/>
  <c r="V10" i="31"/>
  <c r="R10" i="31"/>
  <c r="R15" i="31" s="1"/>
  <c r="J10" i="31"/>
  <c r="P9" i="31"/>
  <c r="N9" i="31"/>
  <c r="L9" i="31"/>
  <c r="X1" i="31"/>
  <c r="M1" i="31"/>
  <c r="AN171" i="30"/>
  <c r="AN167" i="30"/>
  <c r="AN161" i="30"/>
  <c r="W149" i="30"/>
  <c r="U149" i="30"/>
  <c r="W138" i="30"/>
  <c r="U138" i="30"/>
  <c r="AN133" i="30"/>
  <c r="AN130" i="30"/>
  <c r="W127" i="30"/>
  <c r="U127" i="30"/>
  <c r="AN126" i="30"/>
  <c r="AN122" i="30"/>
  <c r="AN119" i="30"/>
  <c r="W116" i="30"/>
  <c r="U116" i="30"/>
  <c r="AN115" i="30"/>
  <c r="AN111" i="30"/>
  <c r="AN108" i="30"/>
  <c r="W105" i="30"/>
  <c r="U105" i="30"/>
  <c r="AN104" i="30"/>
  <c r="AN100" i="30"/>
  <c r="AN97" i="30"/>
  <c r="W94" i="30"/>
  <c r="U94" i="30"/>
  <c r="AN93" i="30"/>
  <c r="W83" i="30"/>
  <c r="U83" i="30"/>
  <c r="W72" i="30"/>
  <c r="U72" i="30"/>
  <c r="AN67" i="30"/>
  <c r="AN64" i="30"/>
  <c r="W61" i="30"/>
  <c r="U61" i="30"/>
  <c r="AN60" i="30"/>
  <c r="W50" i="30"/>
  <c r="U50" i="30"/>
  <c r="AN45" i="30"/>
  <c r="AN144" i="30" s="1"/>
  <c r="W43" i="30"/>
  <c r="W54" i="30" s="1"/>
  <c r="W65" i="30" s="1"/>
  <c r="W76" i="30" s="1"/>
  <c r="W87" i="30" s="1"/>
  <c r="W98" i="30" s="1"/>
  <c r="W109" i="30" s="1"/>
  <c r="W120" i="30" s="1"/>
  <c r="W131" i="30" s="1"/>
  <c r="W142" i="30" s="1"/>
  <c r="W153" i="30" s="1"/>
  <c r="AN42" i="30"/>
  <c r="W39" i="30"/>
  <c r="U39" i="30"/>
  <c r="AN38" i="30"/>
  <c r="AN71" i="30" s="1"/>
  <c r="R156" i="30"/>
  <c r="S141" i="30"/>
  <c r="S86" i="30"/>
  <c r="AD15" i="30"/>
  <c r="T15" i="30"/>
  <c r="AF10" i="30"/>
  <c r="AF13" i="30" s="1"/>
  <c r="AF22" i="30" s="1"/>
  <c r="AB10" i="30"/>
  <c r="Z10" i="30"/>
  <c r="X10" i="30"/>
  <c r="V10" i="30"/>
  <c r="R10" i="30"/>
  <c r="J10" i="30"/>
  <c r="P9" i="30"/>
  <c r="N9" i="30"/>
  <c r="L9" i="30"/>
  <c r="X1" i="30"/>
  <c r="M1" i="30"/>
  <c r="AN171" i="29"/>
  <c r="AN167" i="29"/>
  <c r="AN161" i="29"/>
  <c r="W149" i="29"/>
  <c r="U149" i="29"/>
  <c r="W138" i="29"/>
  <c r="U138" i="29"/>
  <c r="AN133" i="29"/>
  <c r="AN130" i="29"/>
  <c r="W127" i="29"/>
  <c r="U127" i="29"/>
  <c r="AN126" i="29"/>
  <c r="AN122" i="29"/>
  <c r="AN119" i="29"/>
  <c r="W116" i="29"/>
  <c r="U116" i="29"/>
  <c r="AN115" i="29"/>
  <c r="AN111" i="29"/>
  <c r="AN108" i="29"/>
  <c r="W105" i="29"/>
  <c r="U105" i="29"/>
  <c r="AN104" i="29"/>
  <c r="AN100" i="29"/>
  <c r="AN97" i="29"/>
  <c r="W94" i="29"/>
  <c r="U94" i="29"/>
  <c r="AN93" i="29"/>
  <c r="W83" i="29"/>
  <c r="U83" i="29"/>
  <c r="W72" i="29"/>
  <c r="U72" i="29"/>
  <c r="AN67" i="29"/>
  <c r="AN64" i="29"/>
  <c r="W61" i="29"/>
  <c r="U61" i="29"/>
  <c r="AN60" i="29"/>
  <c r="W50" i="29"/>
  <c r="U50" i="29"/>
  <c r="AN45" i="29"/>
  <c r="AN144" i="29" s="1"/>
  <c r="W43" i="29"/>
  <c r="W54" i="29" s="1"/>
  <c r="W65" i="29" s="1"/>
  <c r="W76" i="29" s="1"/>
  <c r="W87" i="29" s="1"/>
  <c r="W98" i="29" s="1"/>
  <c r="W109" i="29" s="1"/>
  <c r="W120" i="29" s="1"/>
  <c r="W131" i="29" s="1"/>
  <c r="W142" i="29" s="1"/>
  <c r="W153" i="29" s="1"/>
  <c r="AN42" i="29"/>
  <c r="AN141" i="29" s="1"/>
  <c r="W39" i="29"/>
  <c r="U39" i="29"/>
  <c r="AN38" i="29"/>
  <c r="AN137" i="29" s="1"/>
  <c r="R156" i="29"/>
  <c r="S141" i="29"/>
  <c r="Z87" i="29"/>
  <c r="Z88" i="29" s="1"/>
  <c r="AD15" i="29"/>
  <c r="T15" i="29"/>
  <c r="AF10" i="29"/>
  <c r="AF13" i="29" s="1"/>
  <c r="AF22" i="29" s="1"/>
  <c r="AB10" i="29"/>
  <c r="Z10" i="29"/>
  <c r="X10" i="29"/>
  <c r="V10" i="29"/>
  <c r="R10" i="29"/>
  <c r="R15" i="29" s="1"/>
  <c r="J10" i="29"/>
  <c r="J15" i="29" s="1"/>
  <c r="P9" i="29"/>
  <c r="N9" i="29"/>
  <c r="L9" i="29"/>
  <c r="L14" i="29" s="1"/>
  <c r="X1" i="29"/>
  <c r="M1" i="29"/>
  <c r="AN171" i="28"/>
  <c r="AN167" i="28"/>
  <c r="AN161" i="28"/>
  <c r="W149" i="28"/>
  <c r="U149" i="28"/>
  <c r="W138" i="28"/>
  <c r="U138" i="28"/>
  <c r="AN133" i="28"/>
  <c r="AN130" i="28"/>
  <c r="W127" i="28"/>
  <c r="U127" i="28"/>
  <c r="AN126" i="28"/>
  <c r="AN122" i="28"/>
  <c r="AN119" i="28"/>
  <c r="W116" i="28"/>
  <c r="U116" i="28"/>
  <c r="AN115" i="28"/>
  <c r="AN111" i="28"/>
  <c r="AN108" i="28"/>
  <c r="W105" i="28"/>
  <c r="U105" i="28"/>
  <c r="AN104" i="28"/>
  <c r="AN100" i="28"/>
  <c r="AN97" i="28"/>
  <c r="W94" i="28"/>
  <c r="U94" i="28"/>
  <c r="AN93" i="28"/>
  <c r="W83" i="28"/>
  <c r="U83" i="28"/>
  <c r="W72" i="28"/>
  <c r="U72" i="28"/>
  <c r="AN67" i="28"/>
  <c r="AN64" i="28"/>
  <c r="W61" i="28"/>
  <c r="U61" i="28"/>
  <c r="AN60" i="28"/>
  <c r="W50" i="28"/>
  <c r="U50" i="28"/>
  <c r="AN45" i="28"/>
  <c r="AN144" i="28" s="1"/>
  <c r="W43" i="28"/>
  <c r="W54" i="28" s="1"/>
  <c r="W65" i="28" s="1"/>
  <c r="W76" i="28" s="1"/>
  <c r="W87" i="28" s="1"/>
  <c r="W98" i="28" s="1"/>
  <c r="W109" i="28" s="1"/>
  <c r="W120" i="28" s="1"/>
  <c r="W131" i="28" s="1"/>
  <c r="W142" i="28" s="1"/>
  <c r="W153" i="28" s="1"/>
  <c r="AN42" i="28"/>
  <c r="AN141" i="28" s="1"/>
  <c r="W39" i="28"/>
  <c r="U39" i="28"/>
  <c r="AN38" i="28"/>
  <c r="AN71" i="28" s="1"/>
  <c r="R156" i="28"/>
  <c r="S141" i="28"/>
  <c r="Z87" i="28"/>
  <c r="Z88" i="28" s="1"/>
  <c r="AD15" i="28"/>
  <c r="T15" i="28"/>
  <c r="AF10" i="28"/>
  <c r="AF13" i="28" s="1"/>
  <c r="AF22" i="28" s="1"/>
  <c r="AB10" i="28"/>
  <c r="Z10" i="28"/>
  <c r="X10" i="28"/>
  <c r="V10" i="28"/>
  <c r="R10" i="28"/>
  <c r="R13" i="28" s="1"/>
  <c r="R22" i="28" s="1"/>
  <c r="J10" i="28"/>
  <c r="J15" i="28" s="1"/>
  <c r="P9" i="28"/>
  <c r="N9" i="28"/>
  <c r="N14" i="28" s="1"/>
  <c r="L9" i="28"/>
  <c r="X1" i="28"/>
  <c r="M1" i="28"/>
  <c r="AN171" i="27"/>
  <c r="AN167" i="27"/>
  <c r="AN161" i="27"/>
  <c r="W149" i="27"/>
  <c r="U149" i="27"/>
  <c r="W138" i="27"/>
  <c r="U138" i="27"/>
  <c r="AN133" i="27"/>
  <c r="AN130" i="27"/>
  <c r="W127" i="27"/>
  <c r="U127" i="27"/>
  <c r="AN126" i="27"/>
  <c r="AN122" i="27"/>
  <c r="AN119" i="27"/>
  <c r="W116" i="27"/>
  <c r="U116" i="27"/>
  <c r="AN115" i="27"/>
  <c r="AN111" i="27"/>
  <c r="AN108" i="27"/>
  <c r="W105" i="27"/>
  <c r="U105" i="27"/>
  <c r="AN104" i="27"/>
  <c r="AN100" i="27"/>
  <c r="AN97" i="27"/>
  <c r="W94" i="27"/>
  <c r="U94" i="27"/>
  <c r="AN93" i="27"/>
  <c r="W83" i="27"/>
  <c r="U83" i="27"/>
  <c r="W72" i="27"/>
  <c r="U72" i="27"/>
  <c r="AN67" i="27"/>
  <c r="AN64" i="27"/>
  <c r="W61" i="27"/>
  <c r="U61" i="27"/>
  <c r="AN60" i="27"/>
  <c r="W50" i="27"/>
  <c r="U50" i="27"/>
  <c r="AN45" i="27"/>
  <c r="AN144" i="27" s="1"/>
  <c r="W43" i="27"/>
  <c r="W54" i="27" s="1"/>
  <c r="W65" i="27" s="1"/>
  <c r="W76" i="27" s="1"/>
  <c r="W87" i="27" s="1"/>
  <c r="W98" i="27" s="1"/>
  <c r="W109" i="27" s="1"/>
  <c r="W120" i="27" s="1"/>
  <c r="W131" i="27" s="1"/>
  <c r="W142" i="27" s="1"/>
  <c r="W153" i="27" s="1"/>
  <c r="AN42" i="27"/>
  <c r="AN141" i="27" s="1"/>
  <c r="W39" i="27"/>
  <c r="U39" i="27"/>
  <c r="AN38" i="27"/>
  <c r="AN137" i="27" s="1"/>
  <c r="R156" i="27"/>
  <c r="S141" i="27"/>
  <c r="Z87" i="27"/>
  <c r="Z88" i="27" s="1"/>
  <c r="AD15" i="27"/>
  <c r="T15" i="27"/>
  <c r="AF10" i="27"/>
  <c r="AF13" i="27" s="1"/>
  <c r="AF22" i="27" s="1"/>
  <c r="AB10" i="27"/>
  <c r="Z10" i="27"/>
  <c r="X10" i="27"/>
  <c r="V10" i="27"/>
  <c r="V15" i="27" s="1"/>
  <c r="R10" i="27"/>
  <c r="R15" i="27" s="1"/>
  <c r="J10" i="27"/>
  <c r="P9" i="27"/>
  <c r="P14" i="27" s="1"/>
  <c r="N9" i="27"/>
  <c r="N12" i="27" s="1"/>
  <c r="L9" i="27"/>
  <c r="X1" i="27"/>
  <c r="M1" i="27"/>
  <c r="AN171" i="26"/>
  <c r="AN167" i="26"/>
  <c r="AN161" i="26"/>
  <c r="W149" i="26"/>
  <c r="U149" i="26"/>
  <c r="W138" i="26"/>
  <c r="U138" i="26"/>
  <c r="AN133" i="26"/>
  <c r="AN130" i="26"/>
  <c r="W127" i="26"/>
  <c r="U127" i="26"/>
  <c r="AN126" i="26"/>
  <c r="AN122" i="26"/>
  <c r="AN119" i="26"/>
  <c r="W116" i="26"/>
  <c r="U116" i="26"/>
  <c r="AN115" i="26"/>
  <c r="AN111" i="26"/>
  <c r="AN108" i="26"/>
  <c r="W105" i="26"/>
  <c r="U105" i="26"/>
  <c r="AN104" i="26"/>
  <c r="AN100" i="26"/>
  <c r="AN97" i="26"/>
  <c r="W94" i="26"/>
  <c r="U94" i="26"/>
  <c r="AN93" i="26"/>
  <c r="W83" i="26"/>
  <c r="U83" i="26"/>
  <c r="W72" i="26"/>
  <c r="U72" i="26"/>
  <c r="AN67" i="26"/>
  <c r="AN64" i="26"/>
  <c r="W61" i="26"/>
  <c r="U61" i="26"/>
  <c r="AN60" i="26"/>
  <c r="W50" i="26"/>
  <c r="U50" i="26"/>
  <c r="AN45" i="26"/>
  <c r="AN144" i="26" s="1"/>
  <c r="W43" i="26"/>
  <c r="W54" i="26" s="1"/>
  <c r="W65" i="26" s="1"/>
  <c r="W76" i="26" s="1"/>
  <c r="W87" i="26" s="1"/>
  <c r="W98" i="26" s="1"/>
  <c r="W109" i="26" s="1"/>
  <c r="W120" i="26" s="1"/>
  <c r="W131" i="26" s="1"/>
  <c r="W142" i="26" s="1"/>
  <c r="W153" i="26" s="1"/>
  <c r="AN42" i="26"/>
  <c r="AN75" i="26" s="1"/>
  <c r="W39" i="26"/>
  <c r="U39" i="26"/>
  <c r="AN38" i="26"/>
  <c r="R79" i="26"/>
  <c r="Z142" i="26"/>
  <c r="Z143" i="26" s="1"/>
  <c r="Z87" i="26"/>
  <c r="Z88" i="26" s="1"/>
  <c r="AR86" i="26" s="1"/>
  <c r="AD15" i="26"/>
  <c r="T15" i="26"/>
  <c r="AF10" i="26"/>
  <c r="AF13" i="26" s="1"/>
  <c r="AF22" i="26" s="1"/>
  <c r="AB10" i="26"/>
  <c r="Z10" i="26"/>
  <c r="X10" i="26"/>
  <c r="V10" i="26"/>
  <c r="R10" i="26"/>
  <c r="R13" i="26" s="1"/>
  <c r="R22" i="26" s="1"/>
  <c r="J10" i="26"/>
  <c r="P9" i="26"/>
  <c r="N9" i="26"/>
  <c r="N12" i="26" s="1"/>
  <c r="L9" i="26"/>
  <c r="L14" i="26" s="1"/>
  <c r="X1" i="26"/>
  <c r="M1" i="26"/>
  <c r="AR86" i="29" l="1"/>
  <c r="N22" i="27"/>
  <c r="AN78" i="30"/>
  <c r="N22" i="26"/>
  <c r="AR86" i="27"/>
  <c r="AR86" i="28"/>
  <c r="AR89" i="32"/>
  <c r="R15" i="26"/>
  <c r="AN53" i="27"/>
  <c r="AF15" i="29"/>
  <c r="AN137" i="32"/>
  <c r="AN148" i="32"/>
  <c r="AN86" i="32"/>
  <c r="AN152" i="32"/>
  <c r="AN144" i="32"/>
  <c r="AR144" i="32" s="1"/>
  <c r="AR155" i="32"/>
  <c r="AN49" i="32"/>
  <c r="AN82" i="32" s="1"/>
  <c r="AN49" i="27"/>
  <c r="AN49" i="29"/>
  <c r="AN71" i="29"/>
  <c r="AN71" i="32"/>
  <c r="AH10" i="26"/>
  <c r="AN71" i="27"/>
  <c r="AN53" i="28"/>
  <c r="J11" i="26"/>
  <c r="J13" i="26" s="1"/>
  <c r="AB11" i="26"/>
  <c r="AB13" i="26" s="1"/>
  <c r="Z11" i="26"/>
  <c r="Z13" i="26" s="1"/>
  <c r="X11" i="26"/>
  <c r="X13" i="26" s="1"/>
  <c r="V11" i="26"/>
  <c r="V13" i="26" s="1"/>
  <c r="N11" i="26"/>
  <c r="P11" i="26"/>
  <c r="P12" i="26" s="1"/>
  <c r="L11" i="26"/>
  <c r="L12" i="26" s="1"/>
  <c r="N14" i="26"/>
  <c r="J11" i="27"/>
  <c r="J13" i="27" s="1"/>
  <c r="AB11" i="27"/>
  <c r="AB13" i="27" s="1"/>
  <c r="Z11" i="27"/>
  <c r="Z13" i="27" s="1"/>
  <c r="X11" i="27"/>
  <c r="X13" i="27" s="1"/>
  <c r="V11" i="27"/>
  <c r="V13" i="27" s="1"/>
  <c r="P11" i="27"/>
  <c r="P12" i="27" s="1"/>
  <c r="L11" i="27"/>
  <c r="L12" i="27" s="1"/>
  <c r="N11" i="27"/>
  <c r="J11" i="28"/>
  <c r="J13" i="28" s="1"/>
  <c r="AB11" i="28"/>
  <c r="AB13" i="28" s="1"/>
  <c r="Z11" i="28"/>
  <c r="Z13" i="28" s="1"/>
  <c r="X11" i="28"/>
  <c r="X13" i="28" s="1"/>
  <c r="V11" i="28"/>
  <c r="V13" i="28" s="1"/>
  <c r="P11" i="28"/>
  <c r="P12" i="28" s="1"/>
  <c r="N11" i="28"/>
  <c r="N12" i="28" s="1"/>
  <c r="L11" i="28"/>
  <c r="L12" i="28" s="1"/>
  <c r="R15" i="28"/>
  <c r="AN75" i="28"/>
  <c r="V15" i="26"/>
  <c r="AB15" i="28"/>
  <c r="AB15" i="30"/>
  <c r="J11" i="31"/>
  <c r="J13" i="31" s="1"/>
  <c r="N11" i="31"/>
  <c r="N12" i="31" s="1"/>
  <c r="AB11" i="31"/>
  <c r="AB13" i="31" s="1"/>
  <c r="Z11" i="31"/>
  <c r="Z13" i="31" s="1"/>
  <c r="X11" i="31"/>
  <c r="X13" i="31" s="1"/>
  <c r="V11" i="31"/>
  <c r="V13" i="31" s="1"/>
  <c r="P11" i="31"/>
  <c r="P12" i="31" s="1"/>
  <c r="L11" i="31"/>
  <c r="J11" i="29"/>
  <c r="J13" i="29" s="1"/>
  <c r="AB11" i="29"/>
  <c r="AB13" i="29" s="1"/>
  <c r="Z11" i="29"/>
  <c r="Z13" i="29" s="1"/>
  <c r="X11" i="29"/>
  <c r="X13" i="29" s="1"/>
  <c r="N11" i="29"/>
  <c r="N12" i="29" s="1"/>
  <c r="V11" i="29"/>
  <c r="V13" i="29" s="1"/>
  <c r="P11" i="29"/>
  <c r="P12" i="29" s="1"/>
  <c r="L11" i="29"/>
  <c r="L12" i="29" s="1"/>
  <c r="Z15" i="26"/>
  <c r="V15" i="29"/>
  <c r="J11" i="30"/>
  <c r="J13" i="30" s="1"/>
  <c r="AB11" i="30"/>
  <c r="AB13" i="30" s="1"/>
  <c r="Z11" i="30"/>
  <c r="Z13" i="30" s="1"/>
  <c r="N11" i="30"/>
  <c r="N12" i="30" s="1"/>
  <c r="X11" i="30"/>
  <c r="X13" i="30" s="1"/>
  <c r="V11" i="30"/>
  <c r="V13" i="30" s="1"/>
  <c r="P11" i="30"/>
  <c r="P12" i="30" s="1"/>
  <c r="L11" i="30"/>
  <c r="L12" i="30" s="1"/>
  <c r="AN53" i="30"/>
  <c r="AN141" i="30"/>
  <c r="R145" i="27"/>
  <c r="R68" i="29"/>
  <c r="R57" i="30"/>
  <c r="R57" i="32"/>
  <c r="R112" i="27"/>
  <c r="R134" i="27"/>
  <c r="R46" i="29"/>
  <c r="R145" i="30"/>
  <c r="R57" i="28"/>
  <c r="R145" i="28"/>
  <c r="R46" i="32"/>
  <c r="R134" i="29"/>
  <c r="R101" i="30"/>
  <c r="R145" i="31"/>
  <c r="R57" i="27"/>
  <c r="R68" i="27"/>
  <c r="R79" i="29"/>
  <c r="R46" i="27"/>
  <c r="R57" i="31"/>
  <c r="R145" i="32"/>
  <c r="AH145" i="32" s="1"/>
  <c r="AH156" i="32"/>
  <c r="S86" i="26"/>
  <c r="S86" i="27"/>
  <c r="Z142" i="30"/>
  <c r="Z143" i="30" s="1"/>
  <c r="S86" i="28"/>
  <c r="Z142" i="31"/>
  <c r="Z143" i="31" s="1"/>
  <c r="S141" i="26"/>
  <c r="S86" i="29"/>
  <c r="Z142" i="27"/>
  <c r="Z143" i="27" s="1"/>
  <c r="AR141" i="27" s="1"/>
  <c r="Z142" i="28"/>
  <c r="Z143" i="28" s="1"/>
  <c r="AR141" i="28" s="1"/>
  <c r="W137" i="32"/>
  <c r="W49" i="32"/>
  <c r="W148" i="32"/>
  <c r="W60" i="32"/>
  <c r="W71" i="32"/>
  <c r="W126" i="32"/>
  <c r="W82" i="32"/>
  <c r="W93" i="32"/>
  <c r="W104" i="32"/>
  <c r="W115" i="32"/>
  <c r="R134" i="32"/>
  <c r="AN75" i="32"/>
  <c r="R123" i="32"/>
  <c r="R112" i="32"/>
  <c r="AN53" i="32"/>
  <c r="AN78" i="32"/>
  <c r="AR78" i="32" s="1"/>
  <c r="R101" i="32"/>
  <c r="AN141" i="32"/>
  <c r="R90" i="32"/>
  <c r="AH90" i="32" s="1"/>
  <c r="AN56" i="32"/>
  <c r="R79" i="32"/>
  <c r="AH79" i="32" s="1"/>
  <c r="R68" i="32"/>
  <c r="Z153" i="31"/>
  <c r="Z154" i="31" s="1"/>
  <c r="AR152" i="31" s="1"/>
  <c r="S152" i="31"/>
  <c r="L14" i="31"/>
  <c r="V15" i="31"/>
  <c r="R46" i="31"/>
  <c r="AN49" i="31"/>
  <c r="R134" i="31"/>
  <c r="AN137" i="31"/>
  <c r="R13" i="31"/>
  <c r="R22" i="31" s="1"/>
  <c r="N14" i="31"/>
  <c r="X15" i="31"/>
  <c r="AN75" i="31"/>
  <c r="R123" i="31"/>
  <c r="AH9" i="31"/>
  <c r="AH10" i="31"/>
  <c r="P14" i="31"/>
  <c r="Z15" i="31"/>
  <c r="R112" i="31"/>
  <c r="L12" i="31"/>
  <c r="AB15" i="31"/>
  <c r="AN53" i="31"/>
  <c r="AN78" i="31"/>
  <c r="R101" i="31"/>
  <c r="AN141" i="31"/>
  <c r="Z87" i="31"/>
  <c r="Z88" i="31" s="1"/>
  <c r="AR86" i="31" s="1"/>
  <c r="R90" i="31"/>
  <c r="J15" i="31"/>
  <c r="AF15" i="31"/>
  <c r="AN56" i="31"/>
  <c r="R79" i="31"/>
  <c r="R68" i="31"/>
  <c r="Z153" i="30"/>
  <c r="Z154" i="30" s="1"/>
  <c r="AR152" i="30" s="1"/>
  <c r="S152" i="30"/>
  <c r="L14" i="30"/>
  <c r="V15" i="30"/>
  <c r="R46" i="30"/>
  <c r="AN49" i="30"/>
  <c r="R134" i="30"/>
  <c r="AN137" i="30"/>
  <c r="R13" i="30"/>
  <c r="R22" i="30" s="1"/>
  <c r="N14" i="30"/>
  <c r="X15" i="30"/>
  <c r="AN75" i="30"/>
  <c r="R123" i="30"/>
  <c r="AH9" i="30"/>
  <c r="AH10" i="30"/>
  <c r="P14" i="30"/>
  <c r="Z15" i="30"/>
  <c r="R112" i="30"/>
  <c r="Z87" i="30"/>
  <c r="Z88" i="30" s="1"/>
  <c r="AR86" i="30" s="1"/>
  <c r="R90" i="30"/>
  <c r="J15" i="30"/>
  <c r="AF15" i="30"/>
  <c r="AN56" i="30"/>
  <c r="R79" i="30"/>
  <c r="R15" i="30"/>
  <c r="R68" i="30"/>
  <c r="R57" i="29"/>
  <c r="Z142" i="29"/>
  <c r="Z143" i="29" s="1"/>
  <c r="AR141" i="29" s="1"/>
  <c r="R145" i="29"/>
  <c r="R13" i="29"/>
  <c r="R22" i="29" s="1"/>
  <c r="N14" i="29"/>
  <c r="X15" i="29"/>
  <c r="AN75" i="29"/>
  <c r="R123" i="29"/>
  <c r="AH9" i="29"/>
  <c r="AH10" i="29"/>
  <c r="P14" i="29"/>
  <c r="Z15" i="29"/>
  <c r="R112" i="29"/>
  <c r="AB15" i="29"/>
  <c r="AN53" i="29"/>
  <c r="AN78" i="29"/>
  <c r="R101" i="29"/>
  <c r="R90" i="29"/>
  <c r="AN56" i="29"/>
  <c r="Z153" i="28"/>
  <c r="Z154" i="28" s="1"/>
  <c r="AR152" i="28" s="1"/>
  <c r="S152" i="28"/>
  <c r="L14" i="28"/>
  <c r="V15" i="28"/>
  <c r="R46" i="28"/>
  <c r="AN49" i="28"/>
  <c r="R134" i="28"/>
  <c r="AN137" i="28"/>
  <c r="X15" i="28"/>
  <c r="R123" i="28"/>
  <c r="AH9" i="28"/>
  <c r="AH10" i="28"/>
  <c r="P14" i="28"/>
  <c r="Z15" i="28"/>
  <c r="R112" i="28"/>
  <c r="AN78" i="28"/>
  <c r="R101" i="28"/>
  <c r="R90" i="28"/>
  <c r="AF15" i="28"/>
  <c r="AN56" i="28"/>
  <c r="R79" i="28"/>
  <c r="R68" i="28"/>
  <c r="Z153" i="27"/>
  <c r="Z154" i="27" s="1"/>
  <c r="AR152" i="27" s="1"/>
  <c r="S152" i="27"/>
  <c r="AH10" i="27"/>
  <c r="Z15" i="27"/>
  <c r="L14" i="27"/>
  <c r="AH9" i="27"/>
  <c r="R13" i="27"/>
  <c r="R22" i="27" s="1"/>
  <c r="N14" i="27"/>
  <c r="X15" i="27"/>
  <c r="AN75" i="27"/>
  <c r="R123" i="27"/>
  <c r="AB15" i="27"/>
  <c r="AN78" i="27"/>
  <c r="R101" i="27"/>
  <c r="R90" i="27"/>
  <c r="J15" i="27"/>
  <c r="AF15" i="27"/>
  <c r="AN56" i="27"/>
  <c r="R79" i="27"/>
  <c r="R68" i="26"/>
  <c r="AN71" i="26"/>
  <c r="R156" i="26"/>
  <c r="R57" i="26"/>
  <c r="R145" i="26"/>
  <c r="R46" i="26"/>
  <c r="AN49" i="26"/>
  <c r="R134" i="26"/>
  <c r="AN137" i="26"/>
  <c r="R123" i="26"/>
  <c r="X15" i="26"/>
  <c r="R112" i="26"/>
  <c r="AB15" i="26"/>
  <c r="AN53" i="26"/>
  <c r="AN78" i="26"/>
  <c r="R101" i="26"/>
  <c r="AN141" i="26"/>
  <c r="AR141" i="26" s="1"/>
  <c r="AH9" i="26"/>
  <c r="P14" i="26"/>
  <c r="R90" i="26"/>
  <c r="J15" i="26"/>
  <c r="AF15" i="26"/>
  <c r="AN56" i="26"/>
  <c r="Z54" i="27" l="1"/>
  <c r="Z55" i="27" s="1"/>
  <c r="AR53" i="27" s="1"/>
  <c r="X57" i="27"/>
  <c r="X58" i="27" s="1"/>
  <c r="AR56" i="27" s="1"/>
  <c r="Z54" i="26"/>
  <c r="Z55" i="26" s="1"/>
  <c r="AR53" i="26" s="1"/>
  <c r="X57" i="26"/>
  <c r="X58" i="26" s="1"/>
  <c r="AR56" i="26" s="1"/>
  <c r="AH14" i="29"/>
  <c r="AR141" i="31"/>
  <c r="AR141" i="30"/>
  <c r="AH14" i="27"/>
  <c r="AH12" i="26"/>
  <c r="AH12" i="29"/>
  <c r="AH13" i="26"/>
  <c r="AH14" i="31"/>
  <c r="AH15" i="31"/>
  <c r="AH13" i="31"/>
  <c r="AH12" i="31"/>
  <c r="AH14" i="30"/>
  <c r="AH15" i="30"/>
  <c r="AH13" i="30"/>
  <c r="AH12" i="30"/>
  <c r="Z153" i="29"/>
  <c r="Z154" i="29" s="1"/>
  <c r="AR152" i="29" s="1"/>
  <c r="S152" i="29"/>
  <c r="AH15" i="29"/>
  <c r="AJ14" i="29" s="1"/>
  <c r="AH13" i="29"/>
  <c r="AH14" i="28"/>
  <c r="AH13" i="28"/>
  <c r="AH12" i="28"/>
  <c r="AH15" i="28"/>
  <c r="Z76" i="28"/>
  <c r="Z77" i="28" s="1"/>
  <c r="AR75" i="28" s="1"/>
  <c r="S75" i="28"/>
  <c r="AH15" i="27"/>
  <c r="AJ14" i="27" s="1"/>
  <c r="AH13" i="27"/>
  <c r="AH12" i="27"/>
  <c r="S54" i="27"/>
  <c r="S53" i="27"/>
  <c r="AH15" i="26"/>
  <c r="S152" i="26"/>
  <c r="Z153" i="26"/>
  <c r="Z154" i="26" s="1"/>
  <c r="AR152" i="26" s="1"/>
  <c r="AH14" i="26"/>
  <c r="S54" i="26"/>
  <c r="S53" i="26"/>
  <c r="Z76" i="26"/>
  <c r="Z77" i="26" s="1"/>
  <c r="AR75" i="26" s="1"/>
  <c r="S75" i="26"/>
  <c r="AH57" i="27" l="1"/>
  <c r="AH57" i="26"/>
  <c r="AJ12" i="26"/>
  <c r="AJ12" i="29"/>
  <c r="AJ14" i="26"/>
  <c r="AJ12" i="27"/>
  <c r="AJ12" i="31"/>
  <c r="AJ12" i="28"/>
  <c r="AH54" i="27"/>
  <c r="Z76" i="31"/>
  <c r="Z77" i="31" s="1"/>
  <c r="AR75" i="31" s="1"/>
  <c r="S75" i="31"/>
  <c r="AJ14" i="31"/>
  <c r="Z76" i="30"/>
  <c r="Z77" i="30" s="1"/>
  <c r="AR75" i="30" s="1"/>
  <c r="S75" i="30"/>
  <c r="AJ12" i="30"/>
  <c r="AJ14" i="30"/>
  <c r="Z76" i="29"/>
  <c r="Z77" i="29" s="1"/>
  <c r="AR75" i="29" s="1"/>
  <c r="S75" i="29"/>
  <c r="AJ14" i="28"/>
  <c r="Z76" i="27"/>
  <c r="S75" i="27"/>
  <c r="AH54" i="26"/>
  <c r="Z77" i="27" l="1"/>
  <c r="AR75" i="27" s="1"/>
  <c r="N9" i="14" l="1"/>
  <c r="D523" i="20" l="1"/>
  <c r="D522" i="20"/>
  <c r="D521" i="20"/>
  <c r="D520" i="20"/>
  <c r="D519" i="20"/>
  <c r="D518" i="20"/>
  <c r="D517" i="20"/>
  <c r="D516" i="20"/>
  <c r="D515" i="20"/>
  <c r="D514" i="20"/>
  <c r="D513" i="20"/>
  <c r="D512" i="20"/>
  <c r="D511" i="20"/>
  <c r="D510" i="20"/>
  <c r="D509" i="20"/>
  <c r="D508" i="20"/>
  <c r="D507" i="20"/>
  <c r="D506" i="20"/>
  <c r="D505" i="20"/>
  <c r="D504" i="20"/>
  <c r="D503" i="20"/>
  <c r="D502" i="20"/>
  <c r="D501" i="20"/>
  <c r="D500" i="20"/>
  <c r="D499" i="20"/>
  <c r="D498" i="20"/>
  <c r="D497" i="20"/>
  <c r="D496" i="20"/>
  <c r="D495" i="20"/>
  <c r="D494" i="20"/>
  <c r="D493" i="20"/>
  <c r="D492" i="20"/>
  <c r="D491" i="20"/>
  <c r="D490" i="20"/>
  <c r="D489" i="20"/>
  <c r="D488" i="20"/>
  <c r="D487" i="20"/>
  <c r="D486" i="20"/>
  <c r="D485" i="20"/>
  <c r="D484" i="20"/>
  <c r="D483" i="20"/>
  <c r="D482" i="20"/>
  <c r="D481" i="20"/>
  <c r="D480" i="20"/>
  <c r="D479" i="20"/>
  <c r="D478" i="20"/>
  <c r="D477" i="20"/>
  <c r="D476" i="20"/>
  <c r="D475" i="20"/>
  <c r="D474" i="20"/>
  <c r="D473" i="20"/>
  <c r="D472" i="20"/>
  <c r="D470" i="20"/>
  <c r="D469" i="20"/>
  <c r="D468" i="20"/>
  <c r="D467" i="20"/>
  <c r="D466" i="20"/>
  <c r="D465" i="20"/>
  <c r="D464" i="20"/>
  <c r="D463" i="20"/>
  <c r="D462" i="20"/>
  <c r="D461" i="20"/>
  <c r="D460" i="20"/>
  <c r="D459" i="20"/>
  <c r="D458" i="20"/>
  <c r="D457" i="20"/>
  <c r="D456" i="20"/>
  <c r="D455" i="20"/>
  <c r="D454" i="20"/>
  <c r="D453" i="20"/>
  <c r="D452" i="20"/>
  <c r="D451" i="20"/>
  <c r="D450" i="20"/>
  <c r="D449" i="20"/>
  <c r="D448" i="20"/>
  <c r="D447" i="20"/>
  <c r="D446" i="20"/>
  <c r="D445" i="20"/>
  <c r="D444" i="20"/>
  <c r="D443" i="20"/>
  <c r="D442" i="20"/>
  <c r="D441" i="20"/>
  <c r="D440" i="20"/>
  <c r="D439" i="20"/>
  <c r="D438" i="20"/>
  <c r="D437" i="20"/>
  <c r="D436" i="20"/>
  <c r="D435" i="20"/>
  <c r="D434" i="20"/>
  <c r="D433" i="20"/>
  <c r="D432" i="20"/>
  <c r="D431" i="20"/>
  <c r="D430" i="20"/>
  <c r="D429" i="20"/>
  <c r="D428" i="20"/>
  <c r="D427" i="20"/>
  <c r="D426" i="20"/>
  <c r="D423" i="20"/>
  <c r="D422" i="20"/>
  <c r="D421" i="20"/>
  <c r="D420" i="20"/>
  <c r="D419" i="20"/>
  <c r="D417" i="20"/>
  <c r="D416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49" i="20"/>
  <c r="D348" i="20"/>
  <c r="D347" i="20"/>
  <c r="D346" i="20"/>
  <c r="D345" i="20"/>
  <c r="D344" i="20"/>
  <c r="D343" i="20"/>
  <c r="D342" i="20"/>
  <c r="D341" i="20"/>
  <c r="D340" i="20"/>
  <c r="D338" i="20"/>
  <c r="D337" i="20"/>
  <c r="D336" i="20"/>
  <c r="D335" i="20"/>
  <c r="D334" i="20"/>
  <c r="D333" i="20"/>
  <c r="D332" i="20"/>
  <c r="D331" i="20"/>
  <c r="D330" i="20"/>
  <c r="D329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1" i="20"/>
  <c r="D130" i="20"/>
  <c r="D129" i="20"/>
  <c r="D128" i="20"/>
  <c r="D127" i="20"/>
  <c r="D126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AN171" i="14"/>
  <c r="AN167" i="14"/>
  <c r="AN161" i="14"/>
  <c r="W149" i="14"/>
  <c r="U149" i="14"/>
  <c r="W138" i="14"/>
  <c r="U138" i="14"/>
  <c r="AN133" i="14"/>
  <c r="AN130" i="14"/>
  <c r="W127" i="14"/>
  <c r="U127" i="14"/>
  <c r="AN126" i="14"/>
  <c r="AN122" i="14"/>
  <c r="AN119" i="14"/>
  <c r="W116" i="14"/>
  <c r="U116" i="14"/>
  <c r="AN115" i="14"/>
  <c r="AN111" i="14"/>
  <c r="AN108" i="14"/>
  <c r="W105" i="14"/>
  <c r="U105" i="14"/>
  <c r="AN104" i="14"/>
  <c r="AN100" i="14"/>
  <c r="AN97" i="14"/>
  <c r="W94" i="14"/>
  <c r="U94" i="14"/>
  <c r="AN93" i="14"/>
  <c r="W83" i="14"/>
  <c r="U83" i="14"/>
  <c r="W72" i="14"/>
  <c r="U72" i="14"/>
  <c r="AN67" i="14"/>
  <c r="AN64" i="14"/>
  <c r="W61" i="14"/>
  <c r="U61" i="14"/>
  <c r="AN60" i="14"/>
  <c r="W50" i="14"/>
  <c r="U50" i="14"/>
  <c r="AN45" i="14"/>
  <c r="AN144" i="14" s="1"/>
  <c r="W43" i="14"/>
  <c r="W54" i="14" s="1"/>
  <c r="W65" i="14" s="1"/>
  <c r="W76" i="14" s="1"/>
  <c r="W87" i="14" s="1"/>
  <c r="W98" i="14" s="1"/>
  <c r="W109" i="14" s="1"/>
  <c r="W120" i="14" s="1"/>
  <c r="W131" i="14" s="1"/>
  <c r="W142" i="14" s="1"/>
  <c r="W153" i="14" s="1"/>
  <c r="AN42" i="14"/>
  <c r="W39" i="14"/>
  <c r="U39" i="14"/>
  <c r="AN38" i="14"/>
  <c r="AN49" i="14" s="1"/>
  <c r="R46" i="14"/>
  <c r="Z142" i="14"/>
  <c r="Z143" i="14" s="1"/>
  <c r="AD15" i="14"/>
  <c r="T15" i="14"/>
  <c r="M1" i="14"/>
  <c r="AN171" i="13"/>
  <c r="AN167" i="13"/>
  <c r="AN161" i="13"/>
  <c r="AR152" i="13"/>
  <c r="W149" i="13"/>
  <c r="U149" i="13"/>
  <c r="W138" i="13"/>
  <c r="U138" i="13"/>
  <c r="AN133" i="13"/>
  <c r="AN130" i="13"/>
  <c r="AR130" i="13" s="1"/>
  <c r="W127" i="13"/>
  <c r="U127" i="13"/>
  <c r="AN126" i="13"/>
  <c r="AN122" i="13"/>
  <c r="AN119" i="13"/>
  <c r="AR119" i="13" s="1"/>
  <c r="W116" i="13"/>
  <c r="U116" i="13"/>
  <c r="AN115" i="13"/>
  <c r="AN111" i="13"/>
  <c r="AN108" i="13"/>
  <c r="AR108" i="13" s="1"/>
  <c r="W105" i="13"/>
  <c r="U105" i="13"/>
  <c r="AN104" i="13"/>
  <c r="AN100" i="13"/>
  <c r="AN97" i="13"/>
  <c r="AR97" i="13" s="1"/>
  <c r="W94" i="13"/>
  <c r="U94" i="13"/>
  <c r="AN93" i="13"/>
  <c r="AR86" i="13"/>
  <c r="W83" i="13"/>
  <c r="U83" i="13"/>
  <c r="W72" i="13"/>
  <c r="U72" i="13"/>
  <c r="AN67" i="13"/>
  <c r="AN64" i="13"/>
  <c r="AR64" i="13" s="1"/>
  <c r="W61" i="13"/>
  <c r="U61" i="13"/>
  <c r="AN60" i="13"/>
  <c r="W50" i="13"/>
  <c r="U50" i="13"/>
  <c r="AN45" i="13"/>
  <c r="AN144" i="13" s="1"/>
  <c r="W43" i="13"/>
  <c r="W54" i="13" s="1"/>
  <c r="W65" i="13" s="1"/>
  <c r="W76" i="13" s="1"/>
  <c r="W87" i="13" s="1"/>
  <c r="W98" i="13" s="1"/>
  <c r="W109" i="13" s="1"/>
  <c r="W120" i="13" s="1"/>
  <c r="W131" i="13" s="1"/>
  <c r="W142" i="13" s="1"/>
  <c r="W153" i="13" s="1"/>
  <c r="AN42" i="13"/>
  <c r="AR141" i="13" s="1"/>
  <c r="W39" i="13"/>
  <c r="U39" i="13"/>
  <c r="AN38" i="13"/>
  <c r="AR31" i="13"/>
  <c r="M1" i="13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H50" i="12"/>
  <c r="T49" i="12"/>
  <c r="R49" i="12"/>
  <c r="Q49" i="12"/>
  <c r="L49" i="12"/>
  <c r="K49" i="12"/>
  <c r="T48" i="12"/>
  <c r="R48" i="12"/>
  <c r="Q48" i="12"/>
  <c r="L48" i="12"/>
  <c r="K48" i="12"/>
  <c r="T47" i="12"/>
  <c r="R47" i="12"/>
  <c r="Q47" i="12"/>
  <c r="L47" i="12"/>
  <c r="K47" i="12"/>
  <c r="T46" i="12"/>
  <c r="R46" i="12"/>
  <c r="Q46" i="12"/>
  <c r="L46" i="12"/>
  <c r="K46" i="12"/>
  <c r="T45" i="12"/>
  <c r="R45" i="12"/>
  <c r="Q45" i="12"/>
  <c r="L45" i="12"/>
  <c r="K45" i="12"/>
  <c r="T44" i="12"/>
  <c r="R44" i="12"/>
  <c r="Q44" i="12"/>
  <c r="L44" i="12"/>
  <c r="K44" i="12"/>
  <c r="H42" i="12"/>
  <c r="T41" i="12"/>
  <c r="Q41" i="12"/>
  <c r="L41" i="12"/>
  <c r="K41" i="12"/>
  <c r="T40" i="12"/>
  <c r="Q40" i="12"/>
  <c r="L40" i="12"/>
  <c r="K40" i="12"/>
  <c r="T39" i="12"/>
  <c r="Q39" i="12"/>
  <c r="L39" i="12"/>
  <c r="K39" i="12"/>
  <c r="T38" i="12"/>
  <c r="Q38" i="12"/>
  <c r="L38" i="12"/>
  <c r="K38" i="12"/>
  <c r="T37" i="12"/>
  <c r="Q37" i="12"/>
  <c r="L37" i="12"/>
  <c r="K37" i="12"/>
  <c r="T36" i="12"/>
  <c r="Q36" i="12"/>
  <c r="L36" i="12"/>
  <c r="K36" i="12"/>
  <c r="T35" i="12"/>
  <c r="Q35" i="12"/>
  <c r="L35" i="12"/>
  <c r="K35" i="12"/>
  <c r="T34" i="12"/>
  <c r="Q34" i="12"/>
  <c r="L34" i="12"/>
  <c r="K34" i="12"/>
  <c r="T33" i="12"/>
  <c r="Q33" i="12"/>
  <c r="L33" i="12"/>
  <c r="K33" i="12"/>
  <c r="T32" i="12"/>
  <c r="Q32" i="12"/>
  <c r="L32" i="12"/>
  <c r="K32" i="12"/>
  <c r="T31" i="12"/>
  <c r="Q31" i="12"/>
  <c r="L31" i="12"/>
  <c r="K31" i="12"/>
  <c r="T30" i="12"/>
  <c r="Q30" i="12"/>
  <c r="L30" i="12"/>
  <c r="K30" i="12"/>
  <c r="T29" i="12"/>
  <c r="Q29" i="12"/>
  <c r="L29" i="12"/>
  <c r="K29" i="12"/>
  <c r="K106" i="12" s="1"/>
  <c r="T28" i="12"/>
  <c r="Q28" i="12"/>
  <c r="L28" i="12"/>
  <c r="L107" i="12" s="1"/>
  <c r="K28" i="12"/>
  <c r="K107" i="12" s="1"/>
  <c r="T27" i="12"/>
  <c r="Q27" i="12"/>
  <c r="L27" i="12"/>
  <c r="K27" i="12"/>
  <c r="T26" i="12"/>
  <c r="Q26" i="12"/>
  <c r="L26" i="12"/>
  <c r="L105" i="12" s="1"/>
  <c r="K26" i="12"/>
  <c r="K105" i="12" s="1"/>
  <c r="T25" i="12"/>
  <c r="Q25" i="12"/>
  <c r="L25" i="12"/>
  <c r="L104" i="12" s="1"/>
  <c r="K25" i="12"/>
  <c r="T24" i="12"/>
  <c r="Q24" i="12"/>
  <c r="L24" i="12"/>
  <c r="L101" i="12" s="1"/>
  <c r="K24" i="12"/>
  <c r="L23" i="12"/>
  <c r="K23" i="12"/>
  <c r="H21" i="12"/>
  <c r="Y20" i="12"/>
  <c r="X20" i="12"/>
  <c r="U20" i="12"/>
  <c r="T20" i="12"/>
  <c r="R20" i="12"/>
  <c r="Q20" i="12"/>
  <c r="L20" i="12"/>
  <c r="K20" i="12"/>
  <c r="Y19" i="12"/>
  <c r="X19" i="12"/>
  <c r="U19" i="12"/>
  <c r="T19" i="12"/>
  <c r="R19" i="12"/>
  <c r="Q19" i="12"/>
  <c r="L19" i="12"/>
  <c r="K19" i="12"/>
  <c r="Y18" i="12"/>
  <c r="X18" i="12"/>
  <c r="U18" i="12"/>
  <c r="T18" i="12"/>
  <c r="R18" i="12"/>
  <c r="Q18" i="12"/>
  <c r="L18" i="12"/>
  <c r="K18" i="12"/>
  <c r="Y17" i="12"/>
  <c r="X17" i="12"/>
  <c r="U17" i="12"/>
  <c r="T17" i="12"/>
  <c r="R17" i="12"/>
  <c r="Q17" i="12"/>
  <c r="L17" i="12"/>
  <c r="K17" i="12"/>
  <c r="Y16" i="12"/>
  <c r="X16" i="12"/>
  <c r="U16" i="12"/>
  <c r="T16" i="12"/>
  <c r="R16" i="12"/>
  <c r="Q16" i="12"/>
  <c r="L16" i="12"/>
  <c r="K16" i="12"/>
  <c r="Y15" i="12"/>
  <c r="X15" i="12"/>
  <c r="U15" i="12"/>
  <c r="T15" i="12"/>
  <c r="R15" i="12"/>
  <c r="Q15" i="12"/>
  <c r="L15" i="12"/>
  <c r="K15" i="12"/>
  <c r="Y14" i="12"/>
  <c r="X14" i="12"/>
  <c r="U14" i="12"/>
  <c r="T14" i="12"/>
  <c r="R14" i="12"/>
  <c r="Q14" i="12"/>
  <c r="L14" i="12"/>
  <c r="K14" i="12"/>
  <c r="Y13" i="12"/>
  <c r="X13" i="12"/>
  <c r="U13" i="12"/>
  <c r="T13" i="12"/>
  <c r="R13" i="12"/>
  <c r="Q13" i="12"/>
  <c r="L13" i="12"/>
  <c r="K13" i="12"/>
  <c r="Y12" i="12"/>
  <c r="X12" i="12"/>
  <c r="U12" i="12"/>
  <c r="T12" i="12"/>
  <c r="R12" i="12"/>
  <c r="Q12" i="12"/>
  <c r="L12" i="12"/>
  <c r="K12" i="12"/>
  <c r="Y11" i="12"/>
  <c r="X11" i="12"/>
  <c r="U11" i="12"/>
  <c r="T11" i="12"/>
  <c r="R11" i="12"/>
  <c r="Q11" i="12"/>
  <c r="L11" i="12"/>
  <c r="K11" i="12"/>
  <c r="Y10" i="12"/>
  <c r="X10" i="12"/>
  <c r="U10" i="12"/>
  <c r="T10" i="12"/>
  <c r="R10" i="12"/>
  <c r="Q10" i="12"/>
  <c r="L10" i="12"/>
  <c r="K10" i="12"/>
  <c r="Y9" i="12"/>
  <c r="X9" i="12"/>
  <c r="U9" i="12"/>
  <c r="T9" i="12"/>
  <c r="R9" i="12"/>
  <c r="Q9" i="12"/>
  <c r="L9" i="12"/>
  <c r="K9" i="12"/>
  <c r="Y8" i="12"/>
  <c r="X8" i="12"/>
  <c r="U8" i="12"/>
  <c r="T8" i="12"/>
  <c r="R8" i="12"/>
  <c r="Q8" i="12"/>
  <c r="L8" i="12"/>
  <c r="K8" i="12"/>
  <c r="E71" i="12" l="1"/>
  <c r="AF19" i="30"/>
  <c r="AD19" i="30"/>
  <c r="T19" i="30"/>
  <c r="R19" i="30"/>
  <c r="J19" i="30"/>
  <c r="P18" i="30"/>
  <c r="AB19" i="30"/>
  <c r="N18" i="30"/>
  <c r="Z19" i="30"/>
  <c r="L18" i="30"/>
  <c r="X19" i="30"/>
  <c r="V19" i="30"/>
  <c r="E65" i="12"/>
  <c r="E73" i="12"/>
  <c r="E81" i="12"/>
  <c r="E89" i="12"/>
  <c r="AR42" i="13"/>
  <c r="E66" i="12"/>
  <c r="E74" i="12"/>
  <c r="E82" i="12"/>
  <c r="E67" i="12"/>
  <c r="E75" i="12"/>
  <c r="E83" i="12"/>
  <c r="E68" i="12"/>
  <c r="E76" i="12"/>
  <c r="E84" i="12"/>
  <c r="E79" i="12"/>
  <c r="E69" i="12"/>
  <c r="E77" i="12"/>
  <c r="E85" i="12"/>
  <c r="E87" i="12"/>
  <c r="E70" i="12"/>
  <c r="E78" i="12"/>
  <c r="E86" i="12"/>
  <c r="E72" i="12"/>
  <c r="E80" i="12"/>
  <c r="E88" i="12"/>
  <c r="L103" i="12"/>
  <c r="K103" i="12"/>
  <c r="L102" i="12"/>
  <c r="L100" i="12"/>
  <c r="L106" i="12"/>
  <c r="K100" i="12"/>
  <c r="K104" i="12"/>
  <c r="V19" i="27"/>
  <c r="AD22" i="32"/>
  <c r="S141" i="32" s="1"/>
  <c r="D65" i="12"/>
  <c r="AB19" i="28"/>
  <c r="K102" i="12"/>
  <c r="T22" i="32"/>
  <c r="S86" i="32" s="1"/>
  <c r="Z142" i="13"/>
  <c r="Z143" i="13" s="1"/>
  <c r="R21" i="12"/>
  <c r="R57" i="14"/>
  <c r="AN75" i="14"/>
  <c r="AN53" i="14"/>
  <c r="R50" i="12"/>
  <c r="L50" i="12"/>
  <c r="L21" i="12"/>
  <c r="Y21" i="12"/>
  <c r="K50" i="12"/>
  <c r="AN75" i="13"/>
  <c r="AR75" i="13" s="1"/>
  <c r="X21" i="12"/>
  <c r="T50" i="12"/>
  <c r="Q21" i="12"/>
  <c r="K21" i="12"/>
  <c r="AN78" i="14"/>
  <c r="R123" i="14"/>
  <c r="D84" i="12"/>
  <c r="D85" i="12"/>
  <c r="D69" i="12"/>
  <c r="D77" i="12"/>
  <c r="D80" i="12"/>
  <c r="D88" i="12"/>
  <c r="D73" i="12"/>
  <c r="D81" i="12"/>
  <c r="Q42" i="12"/>
  <c r="S141" i="13"/>
  <c r="T42" i="12"/>
  <c r="K42" i="12"/>
  <c r="L42" i="12"/>
  <c r="T21" i="12"/>
  <c r="S141" i="14"/>
  <c r="D76" i="12"/>
  <c r="D83" i="12"/>
  <c r="D68" i="12"/>
  <c r="D87" i="12"/>
  <c r="D72" i="12"/>
  <c r="K101" i="12"/>
  <c r="D67" i="12"/>
  <c r="D71" i="12"/>
  <c r="D74" i="12"/>
  <c r="D78" i="12"/>
  <c r="R134" i="13"/>
  <c r="R46" i="13"/>
  <c r="R145" i="13"/>
  <c r="R57" i="13"/>
  <c r="R156" i="13"/>
  <c r="R68" i="13"/>
  <c r="R79" i="13"/>
  <c r="R90" i="13"/>
  <c r="R101" i="13"/>
  <c r="R112" i="13"/>
  <c r="AN49" i="13"/>
  <c r="AN71" i="13"/>
  <c r="D75" i="12"/>
  <c r="D79" i="12"/>
  <c r="D82" i="12"/>
  <c r="D86" i="12"/>
  <c r="R123" i="13"/>
  <c r="Q50" i="12"/>
  <c r="D66" i="12"/>
  <c r="D70" i="12"/>
  <c r="AF10" i="13"/>
  <c r="AF15" i="13" s="1"/>
  <c r="D89" i="12"/>
  <c r="AN53" i="13"/>
  <c r="AR53" i="13" s="1"/>
  <c r="AN78" i="13"/>
  <c r="Z87" i="13"/>
  <c r="Z88" i="13" s="1"/>
  <c r="AF10" i="14"/>
  <c r="S86" i="14"/>
  <c r="Z87" i="14"/>
  <c r="Z88" i="14" s="1"/>
  <c r="AR86" i="14" s="1"/>
  <c r="AN141" i="14"/>
  <c r="AR141" i="14" s="1"/>
  <c r="AN56" i="13"/>
  <c r="J10" i="14"/>
  <c r="AN137" i="14"/>
  <c r="AN71" i="14"/>
  <c r="S86" i="13"/>
  <c r="R134" i="14"/>
  <c r="R156" i="14"/>
  <c r="R68" i="14"/>
  <c r="R79" i="14"/>
  <c r="R90" i="14"/>
  <c r="R112" i="14"/>
  <c r="R101" i="14"/>
  <c r="R145" i="14"/>
  <c r="AN56" i="14"/>
  <c r="N65" i="12" l="1"/>
  <c r="X51" i="12"/>
  <c r="X94" i="12"/>
  <c r="X93" i="12"/>
  <c r="X92" i="12"/>
  <c r="X95" i="12"/>
  <c r="X99" i="12"/>
  <c r="X98" i="12"/>
  <c r="X97" i="12"/>
  <c r="X96" i="12"/>
  <c r="Y51" i="12"/>
  <c r="Y94" i="12"/>
  <c r="Y93" i="12"/>
  <c r="Y95" i="12"/>
  <c r="Y92" i="12"/>
  <c r="Y99" i="12"/>
  <c r="Y98" i="12"/>
  <c r="Y97" i="12"/>
  <c r="Y96" i="12"/>
  <c r="N67" i="12"/>
  <c r="O67" i="12" s="1"/>
  <c r="N68" i="12"/>
  <c r="O68" i="12" s="1"/>
  <c r="N70" i="12"/>
  <c r="O70" i="12" s="1"/>
  <c r="N69" i="12"/>
  <c r="O69" i="12" s="1"/>
  <c r="N66" i="12"/>
  <c r="O66" i="12" s="1"/>
  <c r="N71" i="12"/>
  <c r="O71" i="12" s="1"/>
  <c r="N72" i="12"/>
  <c r="O72" i="12" s="1"/>
  <c r="J19" i="28"/>
  <c r="AF19" i="26"/>
  <c r="AD19" i="26"/>
  <c r="R19" i="26"/>
  <c r="N18" i="26"/>
  <c r="T19" i="26"/>
  <c r="V19" i="28"/>
  <c r="AF19" i="31"/>
  <c r="AD19" i="31"/>
  <c r="R19" i="31"/>
  <c r="T19" i="31"/>
  <c r="AF19" i="27"/>
  <c r="AD19" i="27"/>
  <c r="N18" i="27"/>
  <c r="R19" i="27"/>
  <c r="T19" i="27"/>
  <c r="X19" i="28"/>
  <c r="X19" i="27"/>
  <c r="AF19" i="29"/>
  <c r="AD19" i="29"/>
  <c r="R19" i="29"/>
  <c r="T19" i="29"/>
  <c r="L18" i="28"/>
  <c r="L18" i="27"/>
  <c r="AD19" i="14"/>
  <c r="T19" i="14"/>
  <c r="J19" i="26"/>
  <c r="P18" i="26"/>
  <c r="AB19" i="26"/>
  <c r="Z19" i="26"/>
  <c r="L18" i="26"/>
  <c r="X19" i="26"/>
  <c r="V19" i="26"/>
  <c r="Z19" i="28"/>
  <c r="Z19" i="27"/>
  <c r="J19" i="14"/>
  <c r="J19" i="31"/>
  <c r="P18" i="31"/>
  <c r="AB19" i="31"/>
  <c r="N18" i="31"/>
  <c r="Z19" i="31"/>
  <c r="L18" i="31"/>
  <c r="X19" i="31"/>
  <c r="V19" i="31"/>
  <c r="N18" i="28"/>
  <c r="AB19" i="27"/>
  <c r="J19" i="29"/>
  <c r="P18" i="29"/>
  <c r="AB19" i="29"/>
  <c r="N18" i="29"/>
  <c r="Z19" i="29"/>
  <c r="L18" i="29"/>
  <c r="X19" i="29"/>
  <c r="V19" i="29"/>
  <c r="P18" i="27"/>
  <c r="AF19" i="28"/>
  <c r="AD19" i="28"/>
  <c r="R19" i="28"/>
  <c r="T19" i="28"/>
  <c r="P18" i="28"/>
  <c r="J19" i="27"/>
  <c r="R34" i="14"/>
  <c r="R67" i="14" s="1"/>
  <c r="R34" i="28"/>
  <c r="R34" i="29"/>
  <c r="R34" i="26"/>
  <c r="R34" i="31"/>
  <c r="R34" i="30"/>
  <c r="R34" i="27"/>
  <c r="AF19" i="13"/>
  <c r="AD19" i="13"/>
  <c r="T19" i="13"/>
  <c r="T51" i="12"/>
  <c r="R51" i="12"/>
  <c r="Q51" i="12"/>
  <c r="Q95" i="12"/>
  <c r="W27" i="29" s="1"/>
  <c r="K96" i="12"/>
  <c r="Q96" i="12"/>
  <c r="W27" i="26" s="1"/>
  <c r="K95" i="12"/>
  <c r="Q97" i="12"/>
  <c r="W27" i="31" s="1"/>
  <c r="L95" i="12"/>
  <c r="L96" i="12"/>
  <c r="K97" i="12"/>
  <c r="L97" i="12"/>
  <c r="Z142" i="32"/>
  <c r="Z143" i="32" s="1"/>
  <c r="AR141" i="32" s="1"/>
  <c r="K94" i="12"/>
  <c r="Q92" i="12"/>
  <c r="Z87" i="32"/>
  <c r="Z88" i="32" s="1"/>
  <c r="AR86" i="32" s="1"/>
  <c r="R34" i="32"/>
  <c r="L99" i="12"/>
  <c r="Q94" i="12"/>
  <c r="Q99" i="12"/>
  <c r="L98" i="12"/>
  <c r="Q98" i="12"/>
  <c r="K98" i="12"/>
  <c r="K92" i="12"/>
  <c r="K99" i="12"/>
  <c r="R98" i="12"/>
  <c r="R99" i="12"/>
  <c r="L9" i="13"/>
  <c r="P9" i="13"/>
  <c r="N9" i="13"/>
  <c r="N12" i="13" s="1"/>
  <c r="N22" i="13" s="1"/>
  <c r="R10" i="13"/>
  <c r="R15" i="13" s="1"/>
  <c r="J10" i="13"/>
  <c r="J15" i="13" s="1"/>
  <c r="R10" i="14"/>
  <c r="R15" i="14" s="1"/>
  <c r="Z10" i="14"/>
  <c r="Z13" i="14" s="1"/>
  <c r="X10" i="13"/>
  <c r="X13" i="13" s="1"/>
  <c r="V10" i="13"/>
  <c r="V13" i="13" s="1"/>
  <c r="Z10" i="13"/>
  <c r="Z13" i="13" s="1"/>
  <c r="AB10" i="13"/>
  <c r="L94" i="12"/>
  <c r="X10" i="14"/>
  <c r="X13" i="14" s="1"/>
  <c r="AB10" i="14"/>
  <c r="AB15" i="14" s="1"/>
  <c r="L92" i="12"/>
  <c r="J15" i="14"/>
  <c r="J13" i="14"/>
  <c r="AF13" i="13"/>
  <c r="AF22" i="13" s="1"/>
  <c r="V10" i="14"/>
  <c r="L9" i="14"/>
  <c r="AF15" i="14"/>
  <c r="AF19" i="14" s="1"/>
  <c r="AF13" i="14"/>
  <c r="AF22" i="14" s="1"/>
  <c r="P9" i="14"/>
  <c r="Q93" i="12"/>
  <c r="W27" i="14" s="1"/>
  <c r="L93" i="12"/>
  <c r="K93" i="12"/>
  <c r="O65" i="12" l="1"/>
  <c r="N73" i="12"/>
  <c r="Z54" i="13"/>
  <c r="Z55" i="13" s="1"/>
  <c r="X57" i="13"/>
  <c r="R34" i="13"/>
  <c r="R45" i="13" s="1"/>
  <c r="R19" i="14"/>
  <c r="AB19" i="14"/>
  <c r="W27" i="27"/>
  <c r="W148" i="27" s="1"/>
  <c r="W27" i="30"/>
  <c r="J21" i="13"/>
  <c r="J21" i="27"/>
  <c r="P20" i="27"/>
  <c r="L20" i="27"/>
  <c r="T17" i="28"/>
  <c r="R17" i="28"/>
  <c r="AF17" i="28"/>
  <c r="AD17" i="28"/>
  <c r="P22" i="26"/>
  <c r="L22" i="26"/>
  <c r="X46" i="26" s="1"/>
  <c r="J22" i="26"/>
  <c r="X35" i="26" s="1"/>
  <c r="X17" i="30"/>
  <c r="V17" i="30"/>
  <c r="Z17" i="30"/>
  <c r="AB17" i="30"/>
  <c r="J21" i="30"/>
  <c r="P20" i="30"/>
  <c r="L20" i="30"/>
  <c r="N20" i="30"/>
  <c r="T21" i="27"/>
  <c r="R21" i="27"/>
  <c r="AF21" i="27"/>
  <c r="AD21" i="27"/>
  <c r="N20" i="27"/>
  <c r="X17" i="28"/>
  <c r="V17" i="28"/>
  <c r="Z17" i="28"/>
  <c r="AB17" i="28"/>
  <c r="P22" i="31"/>
  <c r="N22" i="31"/>
  <c r="X57" i="31" s="1"/>
  <c r="L22" i="31"/>
  <c r="X46" i="31" s="1"/>
  <c r="J22" i="31"/>
  <c r="X35" i="31" s="1"/>
  <c r="X21" i="28"/>
  <c r="V21" i="28"/>
  <c r="AB21" i="28"/>
  <c r="Z21" i="28"/>
  <c r="P22" i="29"/>
  <c r="N22" i="29"/>
  <c r="X57" i="29" s="1"/>
  <c r="L22" i="29"/>
  <c r="X46" i="29" s="1"/>
  <c r="J22" i="29"/>
  <c r="X35" i="29" s="1"/>
  <c r="J17" i="27"/>
  <c r="L16" i="27"/>
  <c r="P16" i="27"/>
  <c r="T21" i="28"/>
  <c r="R21" i="28"/>
  <c r="AF21" i="28"/>
  <c r="AD21" i="28"/>
  <c r="T17" i="29"/>
  <c r="R17" i="29"/>
  <c r="AF17" i="29"/>
  <c r="AD17" i="29"/>
  <c r="T17" i="31"/>
  <c r="R17" i="31"/>
  <c r="AF17" i="31"/>
  <c r="AD17" i="31"/>
  <c r="AB23" i="29"/>
  <c r="Z23" i="29"/>
  <c r="X123" i="29" s="1"/>
  <c r="X23" i="29"/>
  <c r="X112" i="29" s="1"/>
  <c r="V23" i="29"/>
  <c r="X101" i="29" s="1"/>
  <c r="P22" i="27"/>
  <c r="L22" i="27"/>
  <c r="X46" i="27" s="1"/>
  <c r="J22" i="27"/>
  <c r="X35" i="27" s="1"/>
  <c r="T17" i="14"/>
  <c r="AF17" i="14"/>
  <c r="AD17" i="14"/>
  <c r="L16" i="31"/>
  <c r="J17" i="31"/>
  <c r="P16" i="31"/>
  <c r="N16" i="31"/>
  <c r="T17" i="27"/>
  <c r="R17" i="27"/>
  <c r="AF17" i="27"/>
  <c r="AD17" i="27"/>
  <c r="N16" i="27"/>
  <c r="J21" i="14"/>
  <c r="L20" i="29"/>
  <c r="J21" i="29"/>
  <c r="P20" i="29"/>
  <c r="N20" i="29"/>
  <c r="X21" i="27"/>
  <c r="V21" i="27"/>
  <c r="Z21" i="27"/>
  <c r="AB21" i="27"/>
  <c r="T17" i="26"/>
  <c r="R17" i="26"/>
  <c r="AF17" i="26"/>
  <c r="AD17" i="26"/>
  <c r="N16" i="26"/>
  <c r="X21" i="31"/>
  <c r="V21" i="31"/>
  <c r="Z21" i="31"/>
  <c r="AB21" i="31"/>
  <c r="AB23" i="26"/>
  <c r="Z23" i="26"/>
  <c r="X123" i="26" s="1"/>
  <c r="X23" i="26"/>
  <c r="X112" i="26" s="1"/>
  <c r="V23" i="26"/>
  <c r="X101" i="26" s="1"/>
  <c r="L20" i="28"/>
  <c r="J21" i="28"/>
  <c r="P20" i="28"/>
  <c r="N20" i="28"/>
  <c r="T21" i="31"/>
  <c r="R21" i="31"/>
  <c r="AF21" i="31"/>
  <c r="AD21" i="31"/>
  <c r="X17" i="29"/>
  <c r="V17" i="29"/>
  <c r="Z17" i="29"/>
  <c r="AB17" i="29"/>
  <c r="AB23" i="28"/>
  <c r="Z23" i="28"/>
  <c r="X123" i="28" s="1"/>
  <c r="X23" i="28"/>
  <c r="X112" i="28" s="1"/>
  <c r="V23" i="28"/>
  <c r="X101" i="28" s="1"/>
  <c r="X21" i="30"/>
  <c r="V21" i="30"/>
  <c r="AB21" i="30"/>
  <c r="Z21" i="30"/>
  <c r="AB23" i="31"/>
  <c r="Z23" i="31"/>
  <c r="X123" i="31" s="1"/>
  <c r="X23" i="31"/>
  <c r="X112" i="31" s="1"/>
  <c r="V23" i="31"/>
  <c r="X101" i="31" s="1"/>
  <c r="J21" i="31"/>
  <c r="P20" i="31"/>
  <c r="N20" i="31"/>
  <c r="L20" i="31"/>
  <c r="J17" i="29"/>
  <c r="P16" i="29"/>
  <c r="L16" i="29"/>
  <c r="N16" i="29"/>
  <c r="Z23" i="14"/>
  <c r="X123" i="14" s="1"/>
  <c r="X23" i="14"/>
  <c r="X112" i="14" s="1"/>
  <c r="X21" i="26"/>
  <c r="V21" i="26"/>
  <c r="AB21" i="26"/>
  <c r="Z21" i="26"/>
  <c r="T17" i="30"/>
  <c r="R17" i="30"/>
  <c r="AF17" i="30"/>
  <c r="AD17" i="30"/>
  <c r="P22" i="28"/>
  <c r="N22" i="28"/>
  <c r="L22" i="28"/>
  <c r="X46" i="28" s="1"/>
  <c r="J22" i="28"/>
  <c r="X35" i="28" s="1"/>
  <c r="AB21" i="14"/>
  <c r="L20" i="26"/>
  <c r="J21" i="26"/>
  <c r="P20" i="26"/>
  <c r="T21" i="29"/>
  <c r="R21" i="29"/>
  <c r="AF21" i="29"/>
  <c r="AD21" i="29"/>
  <c r="P22" i="30"/>
  <c r="N22" i="30"/>
  <c r="L22" i="30"/>
  <c r="X46" i="30" s="1"/>
  <c r="J22" i="30"/>
  <c r="X35" i="30" s="1"/>
  <c r="T21" i="26"/>
  <c r="R21" i="26"/>
  <c r="AF21" i="26"/>
  <c r="AD21" i="26"/>
  <c r="N20" i="26"/>
  <c r="J17" i="14"/>
  <c r="AB23" i="30"/>
  <c r="Z23" i="30"/>
  <c r="X123" i="30" s="1"/>
  <c r="X23" i="30"/>
  <c r="X112" i="30" s="1"/>
  <c r="V23" i="30"/>
  <c r="X101" i="30" s="1"/>
  <c r="T21" i="30"/>
  <c r="R21" i="30"/>
  <c r="AF21" i="30"/>
  <c r="AD21" i="30"/>
  <c r="X17" i="26"/>
  <c r="V17" i="26"/>
  <c r="AB94" i="26" s="1"/>
  <c r="Z17" i="26"/>
  <c r="AB17" i="26"/>
  <c r="J22" i="14"/>
  <c r="X35" i="14" s="1"/>
  <c r="X17" i="27"/>
  <c r="V17" i="27"/>
  <c r="Z17" i="27"/>
  <c r="AB17" i="27"/>
  <c r="J17" i="30"/>
  <c r="P16" i="30"/>
  <c r="L16" i="30"/>
  <c r="N16" i="30"/>
  <c r="L16" i="28"/>
  <c r="J17" i="28"/>
  <c r="P16" i="28"/>
  <c r="N16" i="28"/>
  <c r="T21" i="14"/>
  <c r="R21" i="14"/>
  <c r="AF21" i="14"/>
  <c r="AD21" i="14"/>
  <c r="J17" i="26"/>
  <c r="L16" i="26"/>
  <c r="P16" i="26"/>
  <c r="X21" i="29"/>
  <c r="V21" i="29"/>
  <c r="AB21" i="29"/>
  <c r="Z21" i="29"/>
  <c r="AB23" i="27"/>
  <c r="Z23" i="27"/>
  <c r="X123" i="27" s="1"/>
  <c r="X23" i="27"/>
  <c r="X112" i="27" s="1"/>
  <c r="V23" i="27"/>
  <c r="X101" i="27" s="1"/>
  <c r="X17" i="31"/>
  <c r="V17" i="31"/>
  <c r="Z17" i="31"/>
  <c r="AB17" i="31"/>
  <c r="R19" i="13"/>
  <c r="J19" i="13"/>
  <c r="X23" i="13"/>
  <c r="X112" i="13" s="1"/>
  <c r="Z23" i="13"/>
  <c r="X123" i="13" s="1"/>
  <c r="V23" i="13"/>
  <c r="X101" i="13" s="1"/>
  <c r="W60" i="26"/>
  <c r="W27" i="13"/>
  <c r="AD17" i="13"/>
  <c r="T17" i="13"/>
  <c r="AF17" i="13"/>
  <c r="AF21" i="13"/>
  <c r="AD21" i="13"/>
  <c r="T21" i="13"/>
  <c r="R21" i="13"/>
  <c r="L14" i="13"/>
  <c r="L20" i="13" s="1"/>
  <c r="L12" i="13"/>
  <c r="AH18" i="31"/>
  <c r="AH19" i="26"/>
  <c r="AH18" i="26"/>
  <c r="AH19" i="30"/>
  <c r="AH19" i="29"/>
  <c r="AH18" i="29"/>
  <c r="AH19" i="28"/>
  <c r="AH18" i="27"/>
  <c r="AH18" i="28"/>
  <c r="AH19" i="27"/>
  <c r="AH19" i="31"/>
  <c r="AH18" i="30"/>
  <c r="R122" i="26"/>
  <c r="R111" i="26"/>
  <c r="R45" i="26"/>
  <c r="R100" i="26"/>
  <c r="R78" i="26"/>
  <c r="R144" i="26"/>
  <c r="R155" i="26"/>
  <c r="R67" i="26"/>
  <c r="R133" i="26"/>
  <c r="R89" i="26"/>
  <c r="R56" i="26"/>
  <c r="R144" i="13"/>
  <c r="R111" i="28"/>
  <c r="R100" i="28"/>
  <c r="R78" i="28"/>
  <c r="R45" i="28"/>
  <c r="R67" i="28"/>
  <c r="R133" i="28"/>
  <c r="R122" i="28"/>
  <c r="R56" i="28"/>
  <c r="R144" i="28"/>
  <c r="R155" i="28"/>
  <c r="R89" i="28"/>
  <c r="R111" i="27"/>
  <c r="R100" i="27"/>
  <c r="R89" i="27"/>
  <c r="R67" i="27"/>
  <c r="R45" i="27"/>
  <c r="R56" i="27"/>
  <c r="R133" i="27"/>
  <c r="R78" i="27"/>
  <c r="R144" i="27"/>
  <c r="R122" i="27"/>
  <c r="R155" i="27"/>
  <c r="R67" i="13"/>
  <c r="R111" i="29"/>
  <c r="R89" i="29"/>
  <c r="R67" i="29"/>
  <c r="R133" i="29"/>
  <c r="R56" i="29"/>
  <c r="R155" i="29"/>
  <c r="R45" i="29"/>
  <c r="R100" i="29"/>
  <c r="R144" i="29"/>
  <c r="R78" i="29"/>
  <c r="R122" i="29"/>
  <c r="R155" i="13"/>
  <c r="R100" i="13"/>
  <c r="R111" i="31"/>
  <c r="R100" i="31"/>
  <c r="R78" i="31"/>
  <c r="R67" i="31"/>
  <c r="R144" i="31"/>
  <c r="R155" i="31"/>
  <c r="R45" i="31"/>
  <c r="R56" i="31"/>
  <c r="R89" i="31"/>
  <c r="R133" i="31"/>
  <c r="R122" i="31"/>
  <c r="R111" i="30"/>
  <c r="R144" i="30"/>
  <c r="R56" i="30"/>
  <c r="R100" i="30"/>
  <c r="R89" i="30"/>
  <c r="R133" i="30"/>
  <c r="R122" i="30"/>
  <c r="R78" i="30"/>
  <c r="R67" i="30"/>
  <c r="R45" i="30"/>
  <c r="R155" i="30"/>
  <c r="R111" i="32"/>
  <c r="AH111" i="32" s="1"/>
  <c r="R100" i="32"/>
  <c r="AH100" i="32" s="1"/>
  <c r="AH34" i="32"/>
  <c r="R78" i="32"/>
  <c r="AH78" i="32" s="1"/>
  <c r="AH80" i="32" s="1"/>
  <c r="R56" i="32"/>
  <c r="AH56" i="32" s="1"/>
  <c r="R133" i="32"/>
  <c r="AH133" i="32" s="1"/>
  <c r="R45" i="32"/>
  <c r="AH45" i="32" s="1"/>
  <c r="R67" i="32"/>
  <c r="AH67" i="32" s="1"/>
  <c r="R89" i="32"/>
  <c r="AH89" i="32" s="1"/>
  <c r="AH91" i="32" s="1"/>
  <c r="R155" i="32"/>
  <c r="AH155" i="32" s="1"/>
  <c r="AH157" i="32" s="1"/>
  <c r="R144" i="32"/>
  <c r="AH144" i="32" s="1"/>
  <c r="AH146" i="32" s="1"/>
  <c r="R122" i="32"/>
  <c r="AH122" i="32" s="1"/>
  <c r="R45" i="14"/>
  <c r="R78" i="14"/>
  <c r="R144" i="14"/>
  <c r="R133" i="14"/>
  <c r="R89" i="14"/>
  <c r="R122" i="14"/>
  <c r="R100" i="14"/>
  <c r="R56" i="14"/>
  <c r="R155" i="14"/>
  <c r="R111" i="14"/>
  <c r="X15" i="13"/>
  <c r="X17" i="13" s="1"/>
  <c r="N14" i="13"/>
  <c r="N16" i="13" s="1"/>
  <c r="Z15" i="13"/>
  <c r="Z17" i="13" s="1"/>
  <c r="R13" i="14"/>
  <c r="R22" i="14" s="1"/>
  <c r="R13" i="13"/>
  <c r="R22" i="13" s="1"/>
  <c r="Z15" i="14"/>
  <c r="Z17" i="14" s="1"/>
  <c r="AH9" i="13"/>
  <c r="AH10" i="13"/>
  <c r="V15" i="13"/>
  <c r="V19" i="13" s="1"/>
  <c r="AB13" i="14"/>
  <c r="AB17" i="14" s="1"/>
  <c r="AB13" i="13"/>
  <c r="AB15" i="13"/>
  <c r="AB19" i="13" s="1"/>
  <c r="X15" i="14"/>
  <c r="X19" i="14" s="1"/>
  <c r="P12" i="14"/>
  <c r="P16" i="14" s="1"/>
  <c r="P14" i="14"/>
  <c r="P18" i="14" s="1"/>
  <c r="S54" i="13"/>
  <c r="S53" i="13"/>
  <c r="V15" i="14"/>
  <c r="V19" i="14" s="1"/>
  <c r="V13" i="14"/>
  <c r="V23" i="14" s="1"/>
  <c r="X101" i="14" s="1"/>
  <c r="N12" i="14"/>
  <c r="N16" i="14" s="1"/>
  <c r="N14" i="14"/>
  <c r="N18" i="14" s="1"/>
  <c r="AH10" i="14"/>
  <c r="L12" i="14"/>
  <c r="L22" i="14" s="1"/>
  <c r="X46" i="14" s="1"/>
  <c r="AH9" i="14"/>
  <c r="L14" i="14"/>
  <c r="L20" i="14" s="1"/>
  <c r="P12" i="13"/>
  <c r="P14" i="13"/>
  <c r="P18" i="13" s="1"/>
  <c r="Z54" i="29" l="1"/>
  <c r="Z54" i="31"/>
  <c r="R133" i="13"/>
  <c r="R111" i="13"/>
  <c r="R89" i="13"/>
  <c r="R78" i="13"/>
  <c r="R56" i="13"/>
  <c r="X47" i="14"/>
  <c r="AR45" i="14" s="1"/>
  <c r="AH46" i="14"/>
  <c r="X102" i="27"/>
  <c r="AR100" i="27" s="1"/>
  <c r="AH101" i="27"/>
  <c r="X102" i="14"/>
  <c r="AR100" i="14" s="1"/>
  <c r="AH101" i="14"/>
  <c r="X113" i="27"/>
  <c r="AR111" i="27" s="1"/>
  <c r="AH112" i="27"/>
  <c r="X145" i="30"/>
  <c r="X156" i="30"/>
  <c r="X134" i="30"/>
  <c r="X47" i="30"/>
  <c r="AR45" i="30" s="1"/>
  <c r="AH46" i="30"/>
  <c r="X124" i="14"/>
  <c r="AR122" i="14" s="1"/>
  <c r="AH123" i="14"/>
  <c r="X124" i="29"/>
  <c r="AR122" i="29" s="1"/>
  <c r="AH123" i="29"/>
  <c r="X68" i="26"/>
  <c r="X79" i="26"/>
  <c r="X90" i="26"/>
  <c r="X156" i="27"/>
  <c r="X134" i="27"/>
  <c r="X145" i="27"/>
  <c r="X36" i="14"/>
  <c r="AR34" i="14" s="1"/>
  <c r="AH35" i="14"/>
  <c r="X79" i="30"/>
  <c r="X68" i="30"/>
  <c r="X90" i="30"/>
  <c r="X113" i="31"/>
  <c r="AR111" i="31" s="1"/>
  <c r="AH112" i="31"/>
  <c r="X113" i="28"/>
  <c r="AR111" i="28" s="1"/>
  <c r="AH112" i="28"/>
  <c r="X113" i="26"/>
  <c r="AR111" i="26" s="1"/>
  <c r="AH112" i="26"/>
  <c r="X47" i="29"/>
  <c r="AR45" i="29" s="1"/>
  <c r="AH46" i="29"/>
  <c r="X47" i="31"/>
  <c r="AR45" i="31" s="1"/>
  <c r="AH46" i="31"/>
  <c r="X102" i="31"/>
  <c r="AR100" i="31" s="1"/>
  <c r="AH101" i="31"/>
  <c r="X36" i="29"/>
  <c r="AR34" i="29" s="1"/>
  <c r="AH35" i="29"/>
  <c r="X36" i="28"/>
  <c r="AR34" i="28" s="1"/>
  <c r="AH35" i="28"/>
  <c r="X124" i="31"/>
  <c r="AR122" i="31" s="1"/>
  <c r="AH123" i="31"/>
  <c r="X124" i="28"/>
  <c r="AR122" i="28" s="1"/>
  <c r="AH123" i="28"/>
  <c r="X124" i="26"/>
  <c r="AR122" i="26" s="1"/>
  <c r="AH123" i="26"/>
  <c r="X36" i="27"/>
  <c r="AR34" i="27" s="1"/>
  <c r="AH35" i="27"/>
  <c r="X58" i="29"/>
  <c r="AR56" i="29" s="1"/>
  <c r="AH57" i="29"/>
  <c r="X58" i="31"/>
  <c r="AR56" i="31" s="1"/>
  <c r="AH57" i="31"/>
  <c r="X124" i="27"/>
  <c r="AR122" i="27" s="1"/>
  <c r="AH123" i="27"/>
  <c r="X102" i="28"/>
  <c r="AR100" i="28" s="1"/>
  <c r="AH101" i="28"/>
  <c r="X145" i="29"/>
  <c r="X156" i="29"/>
  <c r="X134" i="29"/>
  <c r="X36" i="31"/>
  <c r="AR34" i="31" s="1"/>
  <c r="AH35" i="31"/>
  <c r="X102" i="13"/>
  <c r="AR100" i="13" s="1"/>
  <c r="AH101" i="13"/>
  <c r="P22" i="14"/>
  <c r="X47" i="28"/>
  <c r="AR45" i="28" s="1"/>
  <c r="AH46" i="28"/>
  <c r="X145" i="31"/>
  <c r="X134" i="31"/>
  <c r="X156" i="31"/>
  <c r="X156" i="28"/>
  <c r="X134" i="28"/>
  <c r="X145" i="28"/>
  <c r="X156" i="26"/>
  <c r="X134" i="26"/>
  <c r="X145" i="26"/>
  <c r="X47" i="27"/>
  <c r="AR45" i="27" s="1"/>
  <c r="AH46" i="27"/>
  <c r="X79" i="29"/>
  <c r="X68" i="29"/>
  <c r="X90" i="29"/>
  <c r="X68" i="31"/>
  <c r="X90" i="31"/>
  <c r="X79" i="31"/>
  <c r="Z54" i="30"/>
  <c r="Z55" i="30" s="1"/>
  <c r="AR53" i="30" s="1"/>
  <c r="X57" i="30"/>
  <c r="X102" i="26"/>
  <c r="AR100" i="26" s="1"/>
  <c r="AH101" i="26"/>
  <c r="X124" i="13"/>
  <c r="AR122" i="13" s="1"/>
  <c r="AH123" i="13"/>
  <c r="X102" i="30"/>
  <c r="AR100" i="30" s="1"/>
  <c r="AH101" i="30"/>
  <c r="Z54" i="28"/>
  <c r="X57" i="28"/>
  <c r="X79" i="27"/>
  <c r="X90" i="27"/>
  <c r="X68" i="27"/>
  <c r="X113" i="13"/>
  <c r="AR111" i="13" s="1"/>
  <c r="AH112" i="13"/>
  <c r="X113" i="30"/>
  <c r="AR111" i="30" s="1"/>
  <c r="AH112" i="30"/>
  <c r="X79" i="28"/>
  <c r="X90" i="28"/>
  <c r="X68" i="28"/>
  <c r="X102" i="29"/>
  <c r="AR100" i="29" s="1"/>
  <c r="AH101" i="29"/>
  <c r="X36" i="26"/>
  <c r="AR34" i="26" s="1"/>
  <c r="AH35" i="26"/>
  <c r="X58" i="13"/>
  <c r="AR56" i="13" s="1"/>
  <c r="AH57" i="13"/>
  <c r="X124" i="30"/>
  <c r="AR122" i="30" s="1"/>
  <c r="AH123" i="30"/>
  <c r="X36" i="30"/>
  <c r="AR34" i="30" s="1"/>
  <c r="AH35" i="30"/>
  <c r="X113" i="14"/>
  <c r="AR111" i="14" s="1"/>
  <c r="AH112" i="14"/>
  <c r="X113" i="29"/>
  <c r="AR111" i="29" s="1"/>
  <c r="AH112" i="29"/>
  <c r="X47" i="26"/>
  <c r="AR45" i="26" s="1"/>
  <c r="AH46" i="26"/>
  <c r="R122" i="13"/>
  <c r="AB94" i="28"/>
  <c r="AB21" i="13"/>
  <c r="P16" i="13"/>
  <c r="AB17" i="13"/>
  <c r="L16" i="13"/>
  <c r="N20" i="13"/>
  <c r="N18" i="13"/>
  <c r="AB39" i="27"/>
  <c r="P20" i="13"/>
  <c r="N22" i="14"/>
  <c r="N22" i="32" s="1"/>
  <c r="X57" i="32" s="1"/>
  <c r="V17" i="14"/>
  <c r="P20" i="14"/>
  <c r="Z21" i="14"/>
  <c r="Z19" i="14"/>
  <c r="X17" i="14"/>
  <c r="AB105" i="14" s="1"/>
  <c r="AB23" i="14"/>
  <c r="V21" i="14"/>
  <c r="X21" i="14"/>
  <c r="AH14" i="14"/>
  <c r="L18" i="14"/>
  <c r="L16" i="14"/>
  <c r="N20" i="14"/>
  <c r="R17" i="14"/>
  <c r="AB72" i="14" s="1"/>
  <c r="AB105" i="30"/>
  <c r="R17" i="13"/>
  <c r="X19" i="13"/>
  <c r="X21" i="13"/>
  <c r="Z19" i="13"/>
  <c r="V21" i="13"/>
  <c r="Z21" i="13"/>
  <c r="V17" i="13"/>
  <c r="L18" i="13"/>
  <c r="AB127" i="27"/>
  <c r="AB127" i="31"/>
  <c r="AB61" i="29"/>
  <c r="AB94" i="31"/>
  <c r="AB96" i="31" s="1"/>
  <c r="AR93" i="31" s="1"/>
  <c r="AB127" i="28"/>
  <c r="AH127" i="28" s="1"/>
  <c r="AB39" i="26"/>
  <c r="AB105" i="31"/>
  <c r="AB50" i="26"/>
  <c r="AH50" i="26" s="1"/>
  <c r="AB61" i="26"/>
  <c r="AB116" i="31"/>
  <c r="AB39" i="30"/>
  <c r="AB50" i="30"/>
  <c r="AB50" i="31"/>
  <c r="AB50" i="27"/>
  <c r="AB61" i="30"/>
  <c r="AB63" i="30" s="1"/>
  <c r="AR60" i="30" s="1"/>
  <c r="AB116" i="30"/>
  <c r="AB39" i="29"/>
  <c r="AB127" i="30"/>
  <c r="AB116" i="26"/>
  <c r="AB61" i="31"/>
  <c r="AH61" i="31" s="1"/>
  <c r="AB116" i="28"/>
  <c r="AB105" i="28"/>
  <c r="AB107" i="28" s="1"/>
  <c r="AR104" i="28" s="1"/>
  <c r="AB105" i="26"/>
  <c r="AB107" i="26" s="1"/>
  <c r="AR104" i="26" s="1"/>
  <c r="AB94" i="30"/>
  <c r="AB23" i="13"/>
  <c r="AH23" i="29"/>
  <c r="L22" i="13"/>
  <c r="X46" i="13" s="1"/>
  <c r="P22" i="13"/>
  <c r="AB105" i="27"/>
  <c r="AB50" i="29"/>
  <c r="AH17" i="30"/>
  <c r="AB28" i="30"/>
  <c r="AB28" i="31"/>
  <c r="AH17" i="31"/>
  <c r="AH23" i="27"/>
  <c r="S31" i="27"/>
  <c r="Z32" i="27"/>
  <c r="AH22" i="27"/>
  <c r="AH22" i="31"/>
  <c r="Z32" i="31"/>
  <c r="S31" i="31"/>
  <c r="AH22" i="29"/>
  <c r="Z32" i="29"/>
  <c r="S31" i="29"/>
  <c r="AH31" i="29" s="1"/>
  <c r="AH23" i="31"/>
  <c r="AH17" i="27"/>
  <c r="AH17" i="29"/>
  <c r="AB28" i="29"/>
  <c r="AB28" i="28"/>
  <c r="AH17" i="28"/>
  <c r="AB94" i="27"/>
  <c r="Z32" i="14"/>
  <c r="S31" i="14"/>
  <c r="AH22" i="30"/>
  <c r="Z32" i="30"/>
  <c r="S31" i="30"/>
  <c r="AH22" i="28"/>
  <c r="Z32" i="28"/>
  <c r="S31" i="28"/>
  <c r="AH23" i="30"/>
  <c r="AH22" i="26"/>
  <c r="Z32" i="26"/>
  <c r="S31" i="26"/>
  <c r="AH17" i="26"/>
  <c r="AB28" i="26"/>
  <c r="AH23" i="26"/>
  <c r="AB28" i="27"/>
  <c r="AB28" i="14"/>
  <c r="AH23" i="28"/>
  <c r="AJ18" i="31"/>
  <c r="AJ18" i="26"/>
  <c r="AJ18" i="27"/>
  <c r="AB127" i="29"/>
  <c r="AB129" i="29" s="1"/>
  <c r="AR126" i="29" s="1"/>
  <c r="AB61" i="27"/>
  <c r="AB63" i="27" s="1"/>
  <c r="AR60" i="27" s="1"/>
  <c r="AB116" i="27"/>
  <c r="AB50" i="28"/>
  <c r="AB39" i="31"/>
  <c r="AB94" i="29"/>
  <c r="W38" i="27"/>
  <c r="W82" i="27"/>
  <c r="W93" i="26"/>
  <c r="W71" i="27"/>
  <c r="W126" i="26"/>
  <c r="W49" i="27"/>
  <c r="W60" i="27"/>
  <c r="W148" i="26"/>
  <c r="AB61" i="28"/>
  <c r="AH61" i="28" s="1"/>
  <c r="AB149" i="30"/>
  <c r="AH149" i="30" s="1"/>
  <c r="AB116" i="29"/>
  <c r="AB105" i="29"/>
  <c r="AB127" i="26"/>
  <c r="AB39" i="28"/>
  <c r="AB127" i="14"/>
  <c r="AH127" i="14" s="1"/>
  <c r="AB72" i="28"/>
  <c r="AB74" i="28" s="1"/>
  <c r="AR71" i="28" s="1"/>
  <c r="AB138" i="31"/>
  <c r="AB140" i="31" s="1"/>
  <c r="AR137" i="31" s="1"/>
  <c r="AB138" i="29"/>
  <c r="AH138" i="29" s="1"/>
  <c r="AB72" i="27"/>
  <c r="AB74" i="27" s="1"/>
  <c r="AR71" i="27" s="1"/>
  <c r="AJ18" i="28"/>
  <c r="W104" i="27"/>
  <c r="W49" i="26"/>
  <c r="W115" i="26"/>
  <c r="W126" i="27"/>
  <c r="W137" i="26"/>
  <c r="W93" i="27"/>
  <c r="W115" i="27"/>
  <c r="W71" i="26"/>
  <c r="W104" i="26"/>
  <c r="W137" i="27"/>
  <c r="W38" i="26"/>
  <c r="W82" i="26"/>
  <c r="AB83" i="31"/>
  <c r="AB85" i="31" s="1"/>
  <c r="AR82" i="31" s="1"/>
  <c r="AB149" i="26"/>
  <c r="AB151" i="26" s="1"/>
  <c r="AR148" i="26" s="1"/>
  <c r="AB138" i="27"/>
  <c r="AH138" i="27" s="1"/>
  <c r="AB138" i="30"/>
  <c r="AB140" i="30" s="1"/>
  <c r="AR137" i="30" s="1"/>
  <c r="AB83" i="29"/>
  <c r="AH83" i="29" s="1"/>
  <c r="AB83" i="28"/>
  <c r="AH83" i="28" s="1"/>
  <c r="AB138" i="28"/>
  <c r="AB140" i="28" s="1"/>
  <c r="AR137" i="28" s="1"/>
  <c r="AB149" i="29"/>
  <c r="AH149" i="29" s="1"/>
  <c r="AH20" i="31"/>
  <c r="AB149" i="31"/>
  <c r="AB151" i="31" s="1"/>
  <c r="AR148" i="31" s="1"/>
  <c r="AJ18" i="30"/>
  <c r="AB72" i="31"/>
  <c r="AB74" i="31" s="1"/>
  <c r="AR71" i="31" s="1"/>
  <c r="R22" i="32"/>
  <c r="S75" i="32" s="1"/>
  <c r="AB83" i="27"/>
  <c r="AH83" i="27" s="1"/>
  <c r="AB72" i="29"/>
  <c r="AB74" i="29" s="1"/>
  <c r="AR71" i="29" s="1"/>
  <c r="AH20" i="27"/>
  <c r="AJ18" i="29"/>
  <c r="AB83" i="26"/>
  <c r="AH83" i="26" s="1"/>
  <c r="AH20" i="26"/>
  <c r="AH21" i="27"/>
  <c r="AB83" i="30"/>
  <c r="AB85" i="30" s="1"/>
  <c r="AR82" i="30" s="1"/>
  <c r="AB138" i="26"/>
  <c r="AH138" i="26" s="1"/>
  <c r="AH21" i="26"/>
  <c r="AB72" i="30"/>
  <c r="AB74" i="30" s="1"/>
  <c r="AR71" i="30" s="1"/>
  <c r="AB72" i="26"/>
  <c r="AB74" i="26" s="1"/>
  <c r="AR71" i="26" s="1"/>
  <c r="AB149" i="28"/>
  <c r="AH149" i="28" s="1"/>
  <c r="AB149" i="27"/>
  <c r="AH149" i="27" s="1"/>
  <c r="AH21" i="30"/>
  <c r="AH20" i="28"/>
  <c r="AH20" i="29"/>
  <c r="AH21" i="31"/>
  <c r="AH21" i="29"/>
  <c r="AH21" i="28"/>
  <c r="AH20" i="30"/>
  <c r="AF22" i="32"/>
  <c r="Z153" i="32" s="1"/>
  <c r="Z154" i="32" s="1"/>
  <c r="AR152" i="32" s="1"/>
  <c r="AH16" i="26"/>
  <c r="S53" i="28"/>
  <c r="Z55" i="28"/>
  <c r="AR53" i="28" s="1"/>
  <c r="S54" i="28"/>
  <c r="S108" i="31"/>
  <c r="Z109" i="31"/>
  <c r="Z110" i="31" s="1"/>
  <c r="AR108" i="31" s="1"/>
  <c r="S119" i="28"/>
  <c r="Z120" i="28"/>
  <c r="Z121" i="28" s="1"/>
  <c r="AR119" i="28" s="1"/>
  <c r="S130" i="26"/>
  <c r="Z131" i="26"/>
  <c r="Z132" i="26" s="1"/>
  <c r="AR130" i="26" s="1"/>
  <c r="S98" i="30"/>
  <c r="S142" i="30"/>
  <c r="AH142" i="30" s="1"/>
  <c r="S32" i="30"/>
  <c r="S131" i="30"/>
  <c r="S153" i="30"/>
  <c r="AH153" i="30" s="1"/>
  <c r="S120" i="30"/>
  <c r="S65" i="30"/>
  <c r="S109" i="30"/>
  <c r="S76" i="30"/>
  <c r="AH76" i="30" s="1"/>
  <c r="S87" i="30"/>
  <c r="AH87" i="30" s="1"/>
  <c r="Z120" i="29"/>
  <c r="Z121" i="29" s="1"/>
  <c r="AR119" i="29" s="1"/>
  <c r="S119" i="29"/>
  <c r="Z131" i="27"/>
  <c r="Z132" i="27" s="1"/>
  <c r="AR130" i="27" s="1"/>
  <c r="S130" i="27"/>
  <c r="S98" i="31"/>
  <c r="S142" i="31"/>
  <c r="AH142" i="31" s="1"/>
  <c r="S32" i="31"/>
  <c r="S120" i="31"/>
  <c r="S153" i="31"/>
  <c r="AH153" i="31" s="1"/>
  <c r="S109" i="31"/>
  <c r="S65" i="31"/>
  <c r="S76" i="31"/>
  <c r="AH76" i="31" s="1"/>
  <c r="S87" i="31"/>
  <c r="AH87" i="31" s="1"/>
  <c r="S131" i="31"/>
  <c r="Z65" i="28"/>
  <c r="Z66" i="28" s="1"/>
  <c r="AR64" i="28" s="1"/>
  <c r="S64" i="28"/>
  <c r="Z98" i="31"/>
  <c r="S97" i="31"/>
  <c r="S108" i="28"/>
  <c r="Z109" i="28"/>
  <c r="Z110" i="28" s="1"/>
  <c r="AR108" i="28" s="1"/>
  <c r="Z43" i="27"/>
  <c r="Z44" i="27" s="1"/>
  <c r="AR42" i="27" s="1"/>
  <c r="S42" i="27"/>
  <c r="S43" i="27"/>
  <c r="AH171" i="32"/>
  <c r="S97" i="27"/>
  <c r="Z98" i="27"/>
  <c r="S131" i="28"/>
  <c r="S98" i="28"/>
  <c r="S142" i="28"/>
  <c r="AH142" i="28" s="1"/>
  <c r="S32" i="28"/>
  <c r="S65" i="28"/>
  <c r="S153" i="28"/>
  <c r="AH153" i="28" s="1"/>
  <c r="S109" i="28"/>
  <c r="S120" i="28"/>
  <c r="S76" i="28"/>
  <c r="AH76" i="28" s="1"/>
  <c r="S87" i="28"/>
  <c r="AH87" i="28" s="1"/>
  <c r="Z55" i="29"/>
  <c r="AR53" i="29" s="1"/>
  <c r="S54" i="29"/>
  <c r="S53" i="29"/>
  <c r="W60" i="30"/>
  <c r="W38" i="30"/>
  <c r="W71" i="30"/>
  <c r="W82" i="30"/>
  <c r="W93" i="30"/>
  <c r="W137" i="30"/>
  <c r="W126" i="30"/>
  <c r="W148" i="30"/>
  <c r="W49" i="30"/>
  <c r="W104" i="30"/>
  <c r="W115" i="30"/>
  <c r="W137" i="31"/>
  <c r="W115" i="31"/>
  <c r="W49" i="31"/>
  <c r="W126" i="31"/>
  <c r="W148" i="31"/>
  <c r="W38" i="31"/>
  <c r="W60" i="31"/>
  <c r="W104" i="31"/>
  <c r="W71" i="31"/>
  <c r="W82" i="31"/>
  <c r="W93" i="31"/>
  <c r="S108" i="29"/>
  <c r="AH108" i="29" s="1"/>
  <c r="Z109" i="29"/>
  <c r="Z110" i="29" s="1"/>
  <c r="AR108" i="29" s="1"/>
  <c r="S97" i="29"/>
  <c r="Z98" i="29"/>
  <c r="S64" i="26"/>
  <c r="Z65" i="26"/>
  <c r="Z66" i="26" s="1"/>
  <c r="AR64" i="26" s="1"/>
  <c r="AH16" i="30"/>
  <c r="S54" i="31"/>
  <c r="S53" i="31"/>
  <c r="Z55" i="31"/>
  <c r="AR53" i="31" s="1"/>
  <c r="S130" i="30"/>
  <c r="Z131" i="30"/>
  <c r="Z132" i="30" s="1"/>
  <c r="AR130" i="30" s="1"/>
  <c r="Z120" i="26"/>
  <c r="Z121" i="26" s="1"/>
  <c r="AR119" i="26" s="1"/>
  <c r="S119" i="26"/>
  <c r="S43" i="31"/>
  <c r="Z43" i="31"/>
  <c r="Z44" i="31" s="1"/>
  <c r="AR42" i="31" s="1"/>
  <c r="S42" i="31"/>
  <c r="S131" i="29"/>
  <c r="S98" i="29"/>
  <c r="S142" i="29"/>
  <c r="AH142" i="29" s="1"/>
  <c r="S32" i="29"/>
  <c r="S109" i="29"/>
  <c r="S153" i="29"/>
  <c r="AH153" i="29" s="1"/>
  <c r="S120" i="29"/>
  <c r="S65" i="29"/>
  <c r="S76" i="29"/>
  <c r="AH76" i="29" s="1"/>
  <c r="S87" i="29"/>
  <c r="AH87" i="29" s="1"/>
  <c r="AH16" i="31"/>
  <c r="W137" i="29"/>
  <c r="W104" i="29"/>
  <c r="W49" i="29"/>
  <c r="W126" i="29"/>
  <c r="W148" i="29"/>
  <c r="W38" i="29"/>
  <c r="W60" i="29"/>
  <c r="W71" i="29"/>
  <c r="W82" i="29"/>
  <c r="W93" i="29"/>
  <c r="W115" i="29"/>
  <c r="S130" i="31"/>
  <c r="Z131" i="31"/>
  <c r="Z132" i="31" s="1"/>
  <c r="AR130" i="31" s="1"/>
  <c r="S119" i="30"/>
  <c r="Z120" i="30"/>
  <c r="Z121" i="30" s="1"/>
  <c r="AR119" i="30" s="1"/>
  <c r="S42" i="26"/>
  <c r="Z43" i="26"/>
  <c r="Z44" i="26" s="1"/>
  <c r="AR42" i="26" s="1"/>
  <c r="S43" i="26"/>
  <c r="Z109" i="27"/>
  <c r="Z110" i="27" s="1"/>
  <c r="AR108" i="27" s="1"/>
  <c r="S108" i="27"/>
  <c r="S43" i="30"/>
  <c r="S42" i="30"/>
  <c r="Z43" i="30"/>
  <c r="Z44" i="30" s="1"/>
  <c r="AR42" i="30" s="1"/>
  <c r="Z65" i="30"/>
  <c r="Z66" i="30" s="1"/>
  <c r="AR64" i="30" s="1"/>
  <c r="S64" i="30"/>
  <c r="S97" i="28"/>
  <c r="Z98" i="28"/>
  <c r="S119" i="31"/>
  <c r="Z120" i="31"/>
  <c r="Z121" i="31" s="1"/>
  <c r="AR119" i="31" s="1"/>
  <c r="AH16" i="27"/>
  <c r="Z65" i="27"/>
  <c r="Z66" i="27" s="1"/>
  <c r="AR64" i="27" s="1"/>
  <c r="S64" i="27"/>
  <c r="S43" i="28"/>
  <c r="S42" i="28"/>
  <c r="Z43" i="28"/>
  <c r="Z44" i="28" s="1"/>
  <c r="AR42" i="28" s="1"/>
  <c r="Z109" i="26"/>
  <c r="Z110" i="26" s="1"/>
  <c r="AR108" i="26" s="1"/>
  <c r="S108" i="26"/>
  <c r="S43" i="29"/>
  <c r="S42" i="29"/>
  <c r="Z43" i="29"/>
  <c r="Z44" i="29" s="1"/>
  <c r="AR42" i="29" s="1"/>
  <c r="Z65" i="31"/>
  <c r="Z66" i="31" s="1"/>
  <c r="AR64" i="31" s="1"/>
  <c r="S64" i="31"/>
  <c r="AH16" i="28"/>
  <c r="W49" i="28"/>
  <c r="W126" i="28"/>
  <c r="W38" i="28"/>
  <c r="W148" i="28"/>
  <c r="W71" i="28"/>
  <c r="W60" i="28"/>
  <c r="W82" i="28"/>
  <c r="W137" i="28"/>
  <c r="W93" i="28"/>
  <c r="W104" i="28"/>
  <c r="W115" i="28"/>
  <c r="S130" i="29"/>
  <c r="Z131" i="29"/>
  <c r="Z132" i="29" s="1"/>
  <c r="AR130" i="29" s="1"/>
  <c r="S108" i="30"/>
  <c r="Z109" i="30"/>
  <c r="Z110" i="30" s="1"/>
  <c r="AR108" i="30" s="1"/>
  <c r="S131" i="26"/>
  <c r="S87" i="26"/>
  <c r="AH87" i="26" s="1"/>
  <c r="S65" i="26"/>
  <c r="S32" i="26"/>
  <c r="S76" i="26"/>
  <c r="AH76" i="26" s="1"/>
  <c r="S153" i="26"/>
  <c r="AH153" i="26" s="1"/>
  <c r="S120" i="26"/>
  <c r="S98" i="26"/>
  <c r="S142" i="26"/>
  <c r="AH142" i="26" s="1"/>
  <c r="S109" i="26"/>
  <c r="S97" i="26"/>
  <c r="Z98" i="26"/>
  <c r="Z120" i="27"/>
  <c r="Z121" i="27" s="1"/>
  <c r="AR119" i="27" s="1"/>
  <c r="S119" i="27"/>
  <c r="S54" i="30"/>
  <c r="S53" i="30"/>
  <c r="Z65" i="29"/>
  <c r="Z66" i="29" s="1"/>
  <c r="AR64" i="29" s="1"/>
  <c r="S64" i="29"/>
  <c r="AH64" i="29" s="1"/>
  <c r="AH16" i="29"/>
  <c r="S97" i="30"/>
  <c r="Z98" i="30"/>
  <c r="S130" i="28"/>
  <c r="Z131" i="28"/>
  <c r="Z132" i="28" s="1"/>
  <c r="AR130" i="28" s="1"/>
  <c r="S87" i="27"/>
  <c r="AH87" i="27" s="1"/>
  <c r="S98" i="27"/>
  <c r="S32" i="27"/>
  <c r="S153" i="27"/>
  <c r="AH153" i="27" s="1"/>
  <c r="S65" i="27"/>
  <c r="S109" i="27"/>
  <c r="S131" i="27"/>
  <c r="S120" i="27"/>
  <c r="S76" i="27"/>
  <c r="AH76" i="27" s="1"/>
  <c r="S142" i="27"/>
  <c r="AH142" i="27" s="1"/>
  <c r="AH13" i="14"/>
  <c r="AH14" i="13"/>
  <c r="AH15" i="13"/>
  <c r="AH15" i="14"/>
  <c r="AJ14" i="14" s="1"/>
  <c r="AB149" i="14"/>
  <c r="AH149" i="14" s="1"/>
  <c r="S108" i="14"/>
  <c r="Z109" i="14"/>
  <c r="Z110" i="14" s="1"/>
  <c r="AR108" i="14" s="1"/>
  <c r="W115" i="14"/>
  <c r="W137" i="14"/>
  <c r="W49" i="14"/>
  <c r="W148" i="14"/>
  <c r="W60" i="14"/>
  <c r="W71" i="14"/>
  <c r="W93" i="14"/>
  <c r="W126" i="14"/>
  <c r="W38" i="14"/>
  <c r="W104" i="14"/>
  <c r="W82" i="14"/>
  <c r="AB138" i="14"/>
  <c r="AB83" i="14"/>
  <c r="AH12" i="13"/>
  <c r="S152" i="14"/>
  <c r="Z153" i="14"/>
  <c r="Z154" i="14" s="1"/>
  <c r="AR152" i="14" s="1"/>
  <c r="Z120" i="14"/>
  <c r="Z121" i="14" s="1"/>
  <c r="AR119" i="14" s="1"/>
  <c r="S119" i="14"/>
  <c r="Z76" i="14"/>
  <c r="Z77" i="14" s="1"/>
  <c r="AR75" i="14" s="1"/>
  <c r="S75" i="14"/>
  <c r="AH54" i="13"/>
  <c r="S109" i="14"/>
  <c r="S131" i="14"/>
  <c r="S142" i="14"/>
  <c r="AH142" i="14" s="1"/>
  <c r="S153" i="14"/>
  <c r="S87" i="14"/>
  <c r="AH87" i="14" s="1"/>
  <c r="S120" i="14"/>
  <c r="S98" i="14"/>
  <c r="S76" i="14"/>
  <c r="S32" i="14"/>
  <c r="S65" i="14"/>
  <c r="AH19" i="14"/>
  <c r="S152" i="13"/>
  <c r="Z153" i="13"/>
  <c r="Z154" i="13" s="1"/>
  <c r="S75" i="13"/>
  <c r="Z76" i="13"/>
  <c r="Z77" i="13" s="1"/>
  <c r="AH12" i="14"/>
  <c r="AH130" i="29" l="1"/>
  <c r="AH42" i="29"/>
  <c r="AH97" i="29"/>
  <c r="AB172" i="29"/>
  <c r="AB173" i="29" s="1"/>
  <c r="AB172" i="27"/>
  <c r="AB173" i="27" s="1"/>
  <c r="AN179" i="27" s="1"/>
  <c r="AR179" i="27" s="1"/>
  <c r="AB172" i="30"/>
  <c r="AB173" i="30" s="1"/>
  <c r="AN179" i="30" s="1"/>
  <c r="AR179" i="30" s="1"/>
  <c r="X90" i="13"/>
  <c r="X79" i="13"/>
  <c r="X68" i="13"/>
  <c r="X69" i="28"/>
  <c r="AR67" i="28" s="1"/>
  <c r="AH68" i="28"/>
  <c r="AH53" i="29"/>
  <c r="X91" i="31"/>
  <c r="AR89" i="31" s="1"/>
  <c r="AH90" i="31"/>
  <c r="X135" i="26"/>
  <c r="AR133" i="26" s="1"/>
  <c r="AH134" i="26"/>
  <c r="X135" i="27"/>
  <c r="AR133" i="27" s="1"/>
  <c r="AH134" i="27"/>
  <c r="X47" i="13"/>
  <c r="AR45" i="13" s="1"/>
  <c r="AH46" i="13"/>
  <c r="X91" i="28"/>
  <c r="AR89" i="28" s="1"/>
  <c r="AH90" i="28"/>
  <c r="X91" i="27"/>
  <c r="AR89" i="27" s="1"/>
  <c r="AH90" i="27"/>
  <c r="X91" i="29"/>
  <c r="AR89" i="29" s="1"/>
  <c r="AH90" i="29"/>
  <c r="X146" i="28"/>
  <c r="AR144" i="28" s="1"/>
  <c r="AH145" i="28"/>
  <c r="X68" i="14"/>
  <c r="X90" i="14"/>
  <c r="X79" i="14"/>
  <c r="X157" i="29"/>
  <c r="AR155" i="29" s="1"/>
  <c r="AH156" i="29"/>
  <c r="X69" i="30"/>
  <c r="AR67" i="30" s="1"/>
  <c r="AH68" i="30"/>
  <c r="X157" i="26"/>
  <c r="AR155" i="26" s="1"/>
  <c r="AH156" i="26"/>
  <c r="X80" i="28"/>
  <c r="AR78" i="28" s="1"/>
  <c r="AH79" i="28"/>
  <c r="X80" i="27"/>
  <c r="AR78" i="27" s="1"/>
  <c r="AH79" i="27"/>
  <c r="X69" i="29"/>
  <c r="AR67" i="29" s="1"/>
  <c r="AH68" i="29"/>
  <c r="X135" i="28"/>
  <c r="AR133" i="28" s="1"/>
  <c r="AH134" i="28"/>
  <c r="X146" i="29"/>
  <c r="AR144" i="29" s="1"/>
  <c r="AH145" i="29"/>
  <c r="X80" i="30"/>
  <c r="AR78" i="30" s="1"/>
  <c r="AH79" i="30"/>
  <c r="X91" i="26"/>
  <c r="AR89" i="26" s="1"/>
  <c r="AH90" i="26"/>
  <c r="X157" i="27"/>
  <c r="AR155" i="27" s="1"/>
  <c r="AH156" i="27"/>
  <c r="AH23" i="13"/>
  <c r="X134" i="13"/>
  <c r="X156" i="13"/>
  <c r="X145" i="13"/>
  <c r="Z54" i="14"/>
  <c r="X57" i="14"/>
  <c r="X58" i="28"/>
  <c r="AR56" i="28" s="1"/>
  <c r="AH57" i="28"/>
  <c r="X80" i="29"/>
  <c r="AR78" i="29" s="1"/>
  <c r="AH79" i="29"/>
  <c r="X157" i="28"/>
  <c r="AR155" i="28" s="1"/>
  <c r="AH156" i="28"/>
  <c r="X80" i="26"/>
  <c r="AR78" i="26" s="1"/>
  <c r="AH79" i="26"/>
  <c r="X135" i="30"/>
  <c r="AR133" i="30" s="1"/>
  <c r="AH134" i="30"/>
  <c r="AN179" i="29"/>
  <c r="AR179" i="29" s="1"/>
  <c r="AR171" i="29"/>
  <c r="X58" i="32"/>
  <c r="AR56" i="32" s="1"/>
  <c r="AH57" i="32"/>
  <c r="AH58" i="32" s="1"/>
  <c r="AB172" i="26"/>
  <c r="AB173" i="26" s="1"/>
  <c r="X58" i="30"/>
  <c r="AR56" i="30" s="1"/>
  <c r="AH57" i="30"/>
  <c r="X157" i="31"/>
  <c r="AR155" i="31" s="1"/>
  <c r="AH156" i="31"/>
  <c r="AB172" i="28"/>
  <c r="AB173" i="28" s="1"/>
  <c r="X69" i="26"/>
  <c r="AR67" i="26" s="1"/>
  <c r="AH68" i="26"/>
  <c r="X157" i="30"/>
  <c r="AR155" i="30" s="1"/>
  <c r="AH156" i="30"/>
  <c r="X69" i="31"/>
  <c r="AR67" i="31" s="1"/>
  <c r="AH68" i="31"/>
  <c r="X91" i="30"/>
  <c r="AR89" i="30" s="1"/>
  <c r="AH90" i="30"/>
  <c r="AH119" i="29"/>
  <c r="S130" i="14"/>
  <c r="X145" i="14"/>
  <c r="X134" i="14"/>
  <c r="X156" i="14"/>
  <c r="X135" i="31"/>
  <c r="AR133" i="31" s="1"/>
  <c r="AH134" i="31"/>
  <c r="AB172" i="31"/>
  <c r="AB173" i="31" s="1"/>
  <c r="X146" i="30"/>
  <c r="AR144" i="30" s="1"/>
  <c r="AH145" i="30"/>
  <c r="AH68" i="27"/>
  <c r="X69" i="27"/>
  <c r="AR67" i="27" s="1"/>
  <c r="X135" i="29"/>
  <c r="AR133" i="29" s="1"/>
  <c r="AH134" i="29"/>
  <c r="X80" i="31"/>
  <c r="AR78" i="31" s="1"/>
  <c r="AH79" i="31"/>
  <c r="X146" i="26"/>
  <c r="AR144" i="26" s="1"/>
  <c r="AH145" i="26"/>
  <c r="X146" i="31"/>
  <c r="AR144" i="31" s="1"/>
  <c r="AH145" i="31"/>
  <c r="X146" i="27"/>
  <c r="AR144" i="27" s="1"/>
  <c r="AH145" i="27"/>
  <c r="AH22" i="14"/>
  <c r="AH45" i="30"/>
  <c r="AH47" i="30" s="1"/>
  <c r="AH42" i="30"/>
  <c r="AH119" i="30"/>
  <c r="AH89" i="27"/>
  <c r="AH97" i="26"/>
  <c r="AH119" i="27"/>
  <c r="AH97" i="30"/>
  <c r="AH130" i="30"/>
  <c r="AH67" i="30"/>
  <c r="AH69" i="30" s="1"/>
  <c r="AH53" i="28"/>
  <c r="AH31" i="28"/>
  <c r="AH31" i="27"/>
  <c r="AH108" i="27"/>
  <c r="AH42" i="27"/>
  <c r="AH53" i="30"/>
  <c r="AH130" i="26"/>
  <c r="AH42" i="28"/>
  <c r="AH97" i="28"/>
  <c r="AH119" i="26"/>
  <c r="AH130" i="27"/>
  <c r="AH108" i="30"/>
  <c r="AH64" i="26"/>
  <c r="AH108" i="28"/>
  <c r="AH119" i="28"/>
  <c r="AH31" i="30"/>
  <c r="AH108" i="26"/>
  <c r="AH130" i="28"/>
  <c r="AH64" i="30"/>
  <c r="AH64" i="27"/>
  <c r="AH42" i="26"/>
  <c r="AH97" i="27"/>
  <c r="AH31" i="26"/>
  <c r="AH122" i="30"/>
  <c r="AH124" i="30" s="1"/>
  <c r="AH64" i="28"/>
  <c r="AH86" i="30"/>
  <c r="AH88" i="30" s="1"/>
  <c r="AH141" i="30"/>
  <c r="AH143" i="30" s="1"/>
  <c r="AH152" i="30"/>
  <c r="AH154" i="30" s="1"/>
  <c r="AH75" i="30"/>
  <c r="AH77" i="30" s="1"/>
  <c r="AH34" i="30"/>
  <c r="AH152" i="31"/>
  <c r="AH154" i="31" s="1"/>
  <c r="AH64" i="31"/>
  <c r="AH141" i="31"/>
  <c r="AH143" i="31" s="1"/>
  <c r="AH53" i="31"/>
  <c r="AH34" i="31"/>
  <c r="AH36" i="31" s="1"/>
  <c r="AH130" i="31"/>
  <c r="AH42" i="31"/>
  <c r="AH119" i="31"/>
  <c r="AH31" i="31"/>
  <c r="AH97" i="31"/>
  <c r="AH108" i="31"/>
  <c r="AH86" i="31"/>
  <c r="AH88" i="31" s="1"/>
  <c r="AH75" i="31"/>
  <c r="AH77" i="31" s="1"/>
  <c r="AH56" i="27"/>
  <c r="AH58" i="27" s="1"/>
  <c r="AH111" i="27"/>
  <c r="AH113" i="27" s="1"/>
  <c r="AH141" i="26"/>
  <c r="AH143" i="26" s="1"/>
  <c r="AH86" i="26"/>
  <c r="AH88" i="26" s="1"/>
  <c r="AH152" i="26"/>
  <c r="AH75" i="26"/>
  <c r="AH77" i="26" s="1"/>
  <c r="AH53" i="26"/>
  <c r="AH55" i="26" s="1"/>
  <c r="AH34" i="26"/>
  <c r="AH36" i="26" s="1"/>
  <c r="AH141" i="27"/>
  <c r="AH143" i="27" s="1"/>
  <c r="AH86" i="27"/>
  <c r="AH88" i="27" s="1"/>
  <c r="AH152" i="27"/>
  <c r="AH154" i="27" s="1"/>
  <c r="AH53" i="27"/>
  <c r="AH55" i="27" s="1"/>
  <c r="AH75" i="27"/>
  <c r="AH77" i="27" s="1"/>
  <c r="AH34" i="27"/>
  <c r="AH67" i="27"/>
  <c r="AH89" i="30"/>
  <c r="AH144" i="27"/>
  <c r="AH155" i="27"/>
  <c r="AH56" i="30"/>
  <c r="AH78" i="30"/>
  <c r="AH144" i="30"/>
  <c r="AH155" i="30"/>
  <c r="AH133" i="27"/>
  <c r="AH100" i="27"/>
  <c r="AH102" i="27" s="1"/>
  <c r="AH45" i="27"/>
  <c r="AH47" i="27" s="1"/>
  <c r="AH133" i="30"/>
  <c r="AH122" i="27"/>
  <c r="AH124" i="27" s="1"/>
  <c r="AH141" i="28"/>
  <c r="AH143" i="28" s="1"/>
  <c r="AH86" i="28"/>
  <c r="AH88" i="28" s="1"/>
  <c r="AH152" i="28"/>
  <c r="AH154" i="28" s="1"/>
  <c r="AH75" i="28"/>
  <c r="AH77" i="28" s="1"/>
  <c r="AH34" i="28"/>
  <c r="AH36" i="28" s="1"/>
  <c r="AH141" i="29"/>
  <c r="AH143" i="29" s="1"/>
  <c r="AH86" i="29"/>
  <c r="AH88" i="29" s="1"/>
  <c r="AH152" i="29"/>
  <c r="AH154" i="29" s="1"/>
  <c r="AH75" i="29"/>
  <c r="AH77" i="29" s="1"/>
  <c r="AH34" i="29"/>
  <c r="AH36" i="29" s="1"/>
  <c r="AH100" i="30"/>
  <c r="AH102" i="30" s="1"/>
  <c r="AH78" i="27"/>
  <c r="AH80" i="27" s="1"/>
  <c r="AH111" i="30"/>
  <c r="AH113" i="30" s="1"/>
  <c r="AH72" i="27"/>
  <c r="AB151" i="27"/>
  <c r="AR148" i="27" s="1"/>
  <c r="AB151" i="29"/>
  <c r="AR148" i="29" s="1"/>
  <c r="AH17" i="14"/>
  <c r="AB162" i="31"/>
  <c r="AB162" i="26"/>
  <c r="AH72" i="28"/>
  <c r="AH72" i="31"/>
  <c r="AB162" i="30"/>
  <c r="AB140" i="29"/>
  <c r="AR137" i="29" s="1"/>
  <c r="AB151" i="30"/>
  <c r="AR148" i="30" s="1"/>
  <c r="AB164" i="26"/>
  <c r="AB162" i="29"/>
  <c r="AH50" i="29"/>
  <c r="AB162" i="27"/>
  <c r="AH23" i="14"/>
  <c r="AJ16" i="31"/>
  <c r="AB164" i="29"/>
  <c r="AJ16" i="29"/>
  <c r="AJ16" i="26"/>
  <c r="AB164" i="27"/>
  <c r="AJ16" i="27"/>
  <c r="AJ16" i="30"/>
  <c r="AB162" i="28"/>
  <c r="AJ16" i="28"/>
  <c r="AB164" i="31"/>
  <c r="AB164" i="30"/>
  <c r="AB164" i="28"/>
  <c r="AB85" i="28"/>
  <c r="AR82" i="28" s="1"/>
  <c r="AB85" i="29"/>
  <c r="AR82" i="29" s="1"/>
  <c r="AB140" i="27"/>
  <c r="AR137" i="27" s="1"/>
  <c r="AH83" i="31"/>
  <c r="AH138" i="31"/>
  <c r="AB61" i="14"/>
  <c r="AB39" i="14"/>
  <c r="AB94" i="14"/>
  <c r="AB85" i="27"/>
  <c r="AR82" i="27" s="1"/>
  <c r="AB50" i="14"/>
  <c r="AB116" i="14"/>
  <c r="AB118" i="14" s="1"/>
  <c r="AR115" i="14" s="1"/>
  <c r="AH72" i="30"/>
  <c r="AB85" i="26"/>
  <c r="AR82" i="26" s="1"/>
  <c r="AH138" i="30"/>
  <c r="AH105" i="28"/>
  <c r="AH149" i="26"/>
  <c r="AH72" i="26"/>
  <c r="AH149" i="31"/>
  <c r="AH83" i="30"/>
  <c r="AH138" i="28"/>
  <c r="AJ20" i="31"/>
  <c r="AB140" i="26"/>
  <c r="AR137" i="26" s="1"/>
  <c r="AH61" i="30"/>
  <c r="AH109" i="31"/>
  <c r="AB52" i="29"/>
  <c r="AR49" i="29" s="1"/>
  <c r="AH109" i="27"/>
  <c r="AH127" i="29"/>
  <c r="AH61" i="27"/>
  <c r="AH72" i="29"/>
  <c r="AH94" i="31"/>
  <c r="AH120" i="28"/>
  <c r="AH131" i="26"/>
  <c r="AH132" i="26" s="1"/>
  <c r="AH65" i="28"/>
  <c r="AH54" i="28"/>
  <c r="AJ20" i="27"/>
  <c r="AJ12" i="14"/>
  <c r="AJ14" i="13"/>
  <c r="AH131" i="27"/>
  <c r="AH120" i="27"/>
  <c r="AB63" i="31"/>
  <c r="AR60" i="31" s="1"/>
  <c r="AH65" i="26"/>
  <c r="AJ20" i="29"/>
  <c r="AH98" i="29"/>
  <c r="AH99" i="29" s="1"/>
  <c r="Z76" i="32"/>
  <c r="Z77" i="32" s="1"/>
  <c r="AR75" i="32" s="1"/>
  <c r="AH109" i="28"/>
  <c r="AH105" i="26"/>
  <c r="AH54" i="30"/>
  <c r="AH120" i="29"/>
  <c r="AB129" i="28"/>
  <c r="AR126" i="28" s="1"/>
  <c r="AJ20" i="26"/>
  <c r="S152" i="32"/>
  <c r="AH109" i="26"/>
  <c r="AB151" i="28"/>
  <c r="AR148" i="28" s="1"/>
  <c r="AH32" i="31"/>
  <c r="AJ20" i="30"/>
  <c r="AH65" i="27"/>
  <c r="AH54" i="29"/>
  <c r="AB52" i="26"/>
  <c r="AR49" i="26" s="1"/>
  <c r="AH65" i="31"/>
  <c r="AH98" i="31"/>
  <c r="AJ20" i="28"/>
  <c r="AH43" i="31"/>
  <c r="AH32" i="30"/>
  <c r="AH32" i="28"/>
  <c r="AH98" i="28"/>
  <c r="AB63" i="28"/>
  <c r="AR60" i="28" s="1"/>
  <c r="AH109" i="29"/>
  <c r="AH110" i="29" s="1"/>
  <c r="AH120" i="26"/>
  <c r="AH43" i="26"/>
  <c r="AH39" i="30"/>
  <c r="AB41" i="30"/>
  <c r="AR38" i="30" s="1"/>
  <c r="S54" i="32"/>
  <c r="S53" i="32"/>
  <c r="Z54" i="32"/>
  <c r="Z55" i="32" s="1"/>
  <c r="AR53" i="32" s="1"/>
  <c r="AB96" i="29"/>
  <c r="AR93" i="29" s="1"/>
  <c r="AH94" i="29"/>
  <c r="AH94" i="27"/>
  <c r="AB96" i="27"/>
  <c r="AR93" i="27" s="1"/>
  <c r="AH32" i="26"/>
  <c r="AH105" i="29"/>
  <c r="AB107" i="29"/>
  <c r="AR104" i="29" s="1"/>
  <c r="AB169" i="28"/>
  <c r="Z99" i="28"/>
  <c r="AR97" i="28" s="1"/>
  <c r="AB30" i="29"/>
  <c r="AR27" i="29" s="1"/>
  <c r="AH28" i="29"/>
  <c r="AB163" i="29"/>
  <c r="AH39" i="31"/>
  <c r="AB41" i="31"/>
  <c r="AR38" i="31" s="1"/>
  <c r="AB30" i="30"/>
  <c r="AR27" i="30" s="1"/>
  <c r="AH28" i="30"/>
  <c r="AB163" i="30"/>
  <c r="Z33" i="28"/>
  <c r="AR31" i="28" s="1"/>
  <c r="AB168" i="28"/>
  <c r="AB96" i="28"/>
  <c r="AR93" i="28" s="1"/>
  <c r="AH94" i="28"/>
  <c r="AH43" i="27"/>
  <c r="AB52" i="28"/>
  <c r="AR49" i="28" s="1"/>
  <c r="AH50" i="28"/>
  <c r="Z33" i="30"/>
  <c r="AR31" i="30" s="1"/>
  <c r="AB168" i="30"/>
  <c r="AH131" i="30"/>
  <c r="AB169" i="30"/>
  <c r="Z99" i="30"/>
  <c r="AR97" i="30" s="1"/>
  <c r="AH94" i="26"/>
  <c r="AB96" i="26"/>
  <c r="AR93" i="26" s="1"/>
  <c r="AH98" i="26"/>
  <c r="AB30" i="27"/>
  <c r="AR27" i="27" s="1"/>
  <c r="AH28" i="27"/>
  <c r="AH163" i="27" s="1"/>
  <c r="AB163" i="27"/>
  <c r="AH105" i="30"/>
  <c r="AB107" i="30"/>
  <c r="AR104" i="30" s="1"/>
  <c r="AB52" i="30"/>
  <c r="AR49" i="30" s="1"/>
  <c r="AH50" i="30"/>
  <c r="Z33" i="29"/>
  <c r="AR31" i="29" s="1"/>
  <c r="AB168" i="29"/>
  <c r="AB107" i="31"/>
  <c r="AR104" i="31" s="1"/>
  <c r="AH105" i="31"/>
  <c r="AH32" i="27"/>
  <c r="AH43" i="29"/>
  <c r="AH44" i="29" s="1"/>
  <c r="AB63" i="29"/>
  <c r="AR60" i="29" s="1"/>
  <c r="AH61" i="29"/>
  <c r="AH43" i="30"/>
  <c r="AB118" i="28"/>
  <c r="AR115" i="28" s="1"/>
  <c r="AH116" i="28"/>
  <c r="AH32" i="29"/>
  <c r="AH54" i="31"/>
  <c r="AB118" i="30"/>
  <c r="AR115" i="30" s="1"/>
  <c r="AH116" i="30"/>
  <c r="AH116" i="27"/>
  <c r="AB118" i="27"/>
  <c r="AR115" i="27" s="1"/>
  <c r="AH109" i="30"/>
  <c r="AH98" i="30"/>
  <c r="AB96" i="30"/>
  <c r="AR93" i="30" s="1"/>
  <c r="AH94" i="30"/>
  <c r="AB118" i="31"/>
  <c r="AR115" i="31" s="1"/>
  <c r="AH116" i="31"/>
  <c r="AH98" i="27"/>
  <c r="Z33" i="26"/>
  <c r="AR31" i="26" s="1"/>
  <c r="AB168" i="26"/>
  <c r="AH43" i="28"/>
  <c r="AB41" i="27"/>
  <c r="AR38" i="27" s="1"/>
  <c r="AH39" i="27"/>
  <c r="AB163" i="31"/>
  <c r="AH28" i="31"/>
  <c r="AB30" i="31"/>
  <c r="AR27" i="31" s="1"/>
  <c r="AH116" i="29"/>
  <c r="AB118" i="29"/>
  <c r="AR115" i="29" s="1"/>
  <c r="AB52" i="27"/>
  <c r="AR49" i="27" s="1"/>
  <c r="AH50" i="27"/>
  <c r="AB107" i="27"/>
  <c r="AR104" i="27" s="1"/>
  <c r="AH105" i="27"/>
  <c r="AH131" i="28"/>
  <c r="Z33" i="31"/>
  <c r="AR31" i="31" s="1"/>
  <c r="AB168" i="31"/>
  <c r="AH65" i="30"/>
  <c r="AB63" i="26"/>
  <c r="AR60" i="26" s="1"/>
  <c r="AH61" i="26"/>
  <c r="AB52" i="31"/>
  <c r="AR49" i="31" s="1"/>
  <c r="AH50" i="31"/>
  <c r="AH39" i="29"/>
  <c r="AB41" i="29"/>
  <c r="AR38" i="29" s="1"/>
  <c r="AH39" i="28"/>
  <c r="AB41" i="28"/>
  <c r="AR38" i="28" s="1"/>
  <c r="Z99" i="29"/>
  <c r="AR97" i="29" s="1"/>
  <c r="AB169" i="29"/>
  <c r="AH127" i="27"/>
  <c r="AB129" i="27"/>
  <c r="AR126" i="27" s="1"/>
  <c r="AH120" i="31"/>
  <c r="Z33" i="27"/>
  <c r="AR31" i="27" s="1"/>
  <c r="AB168" i="27"/>
  <c r="AH28" i="28"/>
  <c r="AB30" i="28"/>
  <c r="AR27" i="28" s="1"/>
  <c r="AB163" i="28"/>
  <c r="Z99" i="26"/>
  <c r="AR97" i="26" s="1"/>
  <c r="AB169" i="26"/>
  <c r="AB129" i="30"/>
  <c r="AR126" i="30" s="1"/>
  <c r="AH127" i="30"/>
  <c r="AH127" i="26"/>
  <c r="AB129" i="26"/>
  <c r="AR126" i="26" s="1"/>
  <c r="AH116" i="26"/>
  <c r="AB118" i="26"/>
  <c r="AR115" i="26" s="1"/>
  <c r="AH65" i="29"/>
  <c r="AH66" i="29" s="1"/>
  <c r="AH131" i="29"/>
  <c r="AH132" i="29" s="1"/>
  <c r="AH131" i="31"/>
  <c r="AH28" i="26"/>
  <c r="AB30" i="26"/>
  <c r="AR27" i="26" s="1"/>
  <c r="AB163" i="26"/>
  <c r="AH120" i="30"/>
  <c r="AH39" i="26"/>
  <c r="AB41" i="26"/>
  <c r="AR38" i="26" s="1"/>
  <c r="Z99" i="27"/>
  <c r="AR97" i="27" s="1"/>
  <c r="AB169" i="27"/>
  <c r="AH127" i="31"/>
  <c r="AB129" i="31"/>
  <c r="AR126" i="31" s="1"/>
  <c r="Z99" i="31"/>
  <c r="AR97" i="31" s="1"/>
  <c r="AB169" i="31"/>
  <c r="AH32" i="14"/>
  <c r="Z131" i="14"/>
  <c r="Z132" i="14" s="1"/>
  <c r="AR130" i="14" s="1"/>
  <c r="AB129" i="14"/>
  <c r="AR126" i="14" s="1"/>
  <c r="AB151" i="14"/>
  <c r="AR148" i="14" s="1"/>
  <c r="AH20" i="14"/>
  <c r="AH153" i="14"/>
  <c r="AH109" i="14"/>
  <c r="AH120" i="14"/>
  <c r="S43" i="14"/>
  <c r="S42" i="14"/>
  <c r="Z43" i="14"/>
  <c r="Z44" i="14" s="1"/>
  <c r="AR42" i="14" s="1"/>
  <c r="AH16" i="14"/>
  <c r="AJ16" i="14" s="1"/>
  <c r="AH76" i="14"/>
  <c r="AH21" i="14"/>
  <c r="AH18" i="14"/>
  <c r="AJ18" i="14" s="1"/>
  <c r="AB85" i="14"/>
  <c r="AR82" i="14" s="1"/>
  <c r="AH83" i="14"/>
  <c r="S97" i="14"/>
  <c r="Z98" i="14"/>
  <c r="AH98" i="14" s="1"/>
  <c r="AB74" i="14"/>
  <c r="AR71" i="14" s="1"/>
  <c r="AH72" i="14"/>
  <c r="Z33" i="14"/>
  <c r="AR31" i="14" s="1"/>
  <c r="S54" i="14"/>
  <c r="Z55" i="14"/>
  <c r="AR53" i="14" s="1"/>
  <c r="S53" i="14"/>
  <c r="Z65" i="14"/>
  <c r="Z66" i="14" s="1"/>
  <c r="AR64" i="14" s="1"/>
  <c r="S64" i="14"/>
  <c r="AH64" i="14" s="1"/>
  <c r="AB107" i="14"/>
  <c r="AR104" i="14" s="1"/>
  <c r="AH105" i="14"/>
  <c r="AB163" i="14"/>
  <c r="AB30" i="14"/>
  <c r="AR27" i="14" s="1"/>
  <c r="AH28" i="14"/>
  <c r="AB140" i="14"/>
  <c r="AR137" i="14" s="1"/>
  <c r="AH138" i="14"/>
  <c r="AH132" i="31" l="1"/>
  <c r="AH66" i="27"/>
  <c r="AH80" i="30"/>
  <c r="AH121" i="30"/>
  <c r="AH58" i="30"/>
  <c r="AH121" i="29"/>
  <c r="AH91" i="27"/>
  <c r="AH121" i="28"/>
  <c r="AR171" i="30"/>
  <c r="AH157" i="27"/>
  <c r="AH110" i="27"/>
  <c r="AH69" i="27"/>
  <c r="AH135" i="30"/>
  <c r="AH110" i="30"/>
  <c r="AH55" i="29"/>
  <c r="AH157" i="30"/>
  <c r="AH97" i="14"/>
  <c r="AH99" i="14" s="1"/>
  <c r="AH33" i="31"/>
  <c r="AH45" i="31" s="1"/>
  <c r="AH47" i="31" s="1"/>
  <c r="AH172" i="28"/>
  <c r="AH132" i="30"/>
  <c r="AH130" i="14"/>
  <c r="AH33" i="30"/>
  <c r="AH42" i="14"/>
  <c r="AH91" i="30"/>
  <c r="AH53" i="14"/>
  <c r="AH146" i="30"/>
  <c r="AH146" i="27"/>
  <c r="AH135" i="27"/>
  <c r="AR171" i="27"/>
  <c r="AH172" i="30"/>
  <c r="AH172" i="31"/>
  <c r="AH172" i="27"/>
  <c r="AH172" i="29"/>
  <c r="AH172" i="26"/>
  <c r="X157" i="14"/>
  <c r="AR155" i="14" s="1"/>
  <c r="AH156" i="14"/>
  <c r="X135" i="13"/>
  <c r="AR133" i="13" s="1"/>
  <c r="AH134" i="13"/>
  <c r="X69" i="13"/>
  <c r="AR67" i="13" s="1"/>
  <c r="AH68" i="13"/>
  <c r="X135" i="14"/>
  <c r="AR133" i="14" s="1"/>
  <c r="AH134" i="14"/>
  <c r="X80" i="14"/>
  <c r="AR78" i="14" s="1"/>
  <c r="AH79" i="14"/>
  <c r="X80" i="13"/>
  <c r="AR78" i="13" s="1"/>
  <c r="AH79" i="13"/>
  <c r="X157" i="13"/>
  <c r="AR155" i="13" s="1"/>
  <c r="AH156" i="13"/>
  <c r="X146" i="14"/>
  <c r="AR144" i="14" s="1"/>
  <c r="AH145" i="14"/>
  <c r="X91" i="14"/>
  <c r="AR89" i="14" s="1"/>
  <c r="AH90" i="14"/>
  <c r="X91" i="13"/>
  <c r="AR89" i="13" s="1"/>
  <c r="AH90" i="13"/>
  <c r="AR171" i="26"/>
  <c r="AN179" i="26"/>
  <c r="AR179" i="26" s="1"/>
  <c r="X69" i="14"/>
  <c r="AR67" i="14" s="1"/>
  <c r="AH68" i="14"/>
  <c r="AB172" i="14"/>
  <c r="AB173" i="14" s="1"/>
  <c r="AN179" i="31"/>
  <c r="AR179" i="31" s="1"/>
  <c r="AR171" i="31"/>
  <c r="X58" i="14"/>
  <c r="AR56" i="14" s="1"/>
  <c r="AH57" i="14"/>
  <c r="AR171" i="28"/>
  <c r="AN179" i="28"/>
  <c r="AR179" i="28" s="1"/>
  <c r="X146" i="13"/>
  <c r="AR144" i="13" s="1"/>
  <c r="AH145" i="13"/>
  <c r="AH44" i="30"/>
  <c r="AH44" i="31"/>
  <c r="AH121" i="31"/>
  <c r="AH55" i="30"/>
  <c r="AH110" i="28"/>
  <c r="AH34" i="14"/>
  <c r="AH36" i="14" s="1"/>
  <c r="AH86" i="14"/>
  <c r="AH88" i="14" s="1"/>
  <c r="AH152" i="14"/>
  <c r="AH154" i="14" s="1"/>
  <c r="AH66" i="26"/>
  <c r="AH44" i="27"/>
  <c r="AH121" i="27"/>
  <c r="AH44" i="26"/>
  <c r="AH167" i="31"/>
  <c r="AH44" i="28"/>
  <c r="AH99" i="31"/>
  <c r="AH110" i="26"/>
  <c r="AH66" i="31"/>
  <c r="AH55" i="28"/>
  <c r="AH99" i="28"/>
  <c r="AH167" i="28"/>
  <c r="AH167" i="26"/>
  <c r="AH167" i="30"/>
  <c r="AH167" i="27"/>
  <c r="AH55" i="31"/>
  <c r="AH66" i="28"/>
  <c r="AH154" i="26"/>
  <c r="AH66" i="30"/>
  <c r="AH167" i="29"/>
  <c r="AH33" i="27"/>
  <c r="AH33" i="28"/>
  <c r="AH45" i="28" s="1"/>
  <c r="AH47" i="28" s="1"/>
  <c r="AH110" i="31"/>
  <c r="AH132" i="27"/>
  <c r="AH132" i="28"/>
  <c r="AH121" i="26"/>
  <c r="AH36" i="30"/>
  <c r="AH171" i="30"/>
  <c r="AH171" i="27"/>
  <c r="AH36" i="27"/>
  <c r="AH141" i="14"/>
  <c r="AH143" i="14" s="1"/>
  <c r="AB168" i="14"/>
  <c r="AH75" i="14"/>
  <c r="AH77" i="14" s="1"/>
  <c r="AH31" i="14"/>
  <c r="AH33" i="14" s="1"/>
  <c r="AH108" i="14"/>
  <c r="AH110" i="14" s="1"/>
  <c r="AH119" i="14"/>
  <c r="AH121" i="14" s="1"/>
  <c r="AH163" i="28"/>
  <c r="AB63" i="14"/>
  <c r="AR60" i="14" s="1"/>
  <c r="AB164" i="14"/>
  <c r="R148" i="30"/>
  <c r="AH148" i="30" s="1"/>
  <c r="AH151" i="30" s="1"/>
  <c r="R137" i="30"/>
  <c r="AH137" i="30" s="1"/>
  <c r="AH140" i="30" s="1"/>
  <c r="R126" i="30"/>
  <c r="AH126" i="30" s="1"/>
  <c r="AH129" i="30" s="1"/>
  <c r="R115" i="30"/>
  <c r="AH115" i="30" s="1"/>
  <c r="AH118" i="30" s="1"/>
  <c r="R104" i="30"/>
  <c r="AH104" i="30" s="1"/>
  <c r="AH107" i="30" s="1"/>
  <c r="R93" i="30"/>
  <c r="AH93" i="30" s="1"/>
  <c r="AH96" i="30" s="1"/>
  <c r="R82" i="30"/>
  <c r="AH82" i="30" s="1"/>
  <c r="AH85" i="30" s="1"/>
  <c r="R71" i="30"/>
  <c r="R60" i="30"/>
  <c r="R49" i="30"/>
  <c r="AH49" i="30" s="1"/>
  <c r="AH52" i="30" s="1"/>
  <c r="R38" i="30"/>
  <c r="AH38" i="30" s="1"/>
  <c r="AH41" i="30" s="1"/>
  <c r="R93" i="27"/>
  <c r="AH93" i="27" s="1"/>
  <c r="AH96" i="27" s="1"/>
  <c r="R49" i="27"/>
  <c r="AH49" i="27" s="1"/>
  <c r="AH52" i="27" s="1"/>
  <c r="R137" i="27"/>
  <c r="AH137" i="27" s="1"/>
  <c r="AH140" i="27" s="1"/>
  <c r="R71" i="27"/>
  <c r="AH71" i="27" s="1"/>
  <c r="AH74" i="27" s="1"/>
  <c r="R148" i="27"/>
  <c r="AH148" i="27" s="1"/>
  <c r="AH151" i="27" s="1"/>
  <c r="R126" i="27"/>
  <c r="AH126" i="27" s="1"/>
  <c r="AH129" i="27" s="1"/>
  <c r="R115" i="27"/>
  <c r="AH115" i="27" s="1"/>
  <c r="AH118" i="27" s="1"/>
  <c r="R104" i="27"/>
  <c r="AH104" i="27" s="1"/>
  <c r="AH107" i="27" s="1"/>
  <c r="R82" i="27"/>
  <c r="AH82" i="27" s="1"/>
  <c r="AH85" i="27" s="1"/>
  <c r="R60" i="27"/>
  <c r="AH60" i="27" s="1"/>
  <c r="AH63" i="27" s="1"/>
  <c r="R38" i="27"/>
  <c r="AH38" i="27" s="1"/>
  <c r="AH41" i="27" s="1"/>
  <c r="AB162" i="14"/>
  <c r="R148" i="26"/>
  <c r="R137" i="26"/>
  <c r="R126" i="26"/>
  <c r="AH126" i="26" s="1"/>
  <c r="AH129" i="26" s="1"/>
  <c r="R115" i="26"/>
  <c r="R104" i="26"/>
  <c r="AH104" i="26" s="1"/>
  <c r="AH107" i="26" s="1"/>
  <c r="R93" i="26"/>
  <c r="AH93" i="26" s="1"/>
  <c r="AH96" i="26" s="1"/>
  <c r="R82" i="26"/>
  <c r="AH82" i="26" s="1"/>
  <c r="AH85" i="26" s="1"/>
  <c r="R71" i="26"/>
  <c r="AH71" i="26" s="1"/>
  <c r="AH74" i="26" s="1"/>
  <c r="R60" i="26"/>
  <c r="AH60" i="26" s="1"/>
  <c r="AH63" i="26" s="1"/>
  <c r="R49" i="26"/>
  <c r="AH49" i="26" s="1"/>
  <c r="AH52" i="26" s="1"/>
  <c r="R38" i="26"/>
  <c r="AH38" i="26" s="1"/>
  <c r="AH41" i="26" s="1"/>
  <c r="R148" i="29"/>
  <c r="AH148" i="29" s="1"/>
  <c r="AH151" i="29" s="1"/>
  <c r="R137" i="29"/>
  <c r="AH137" i="29" s="1"/>
  <c r="AH140" i="29" s="1"/>
  <c r="R126" i="29"/>
  <c r="AH126" i="29" s="1"/>
  <c r="AH129" i="29" s="1"/>
  <c r="R115" i="29"/>
  <c r="AH115" i="29" s="1"/>
  <c r="AH118" i="29" s="1"/>
  <c r="R104" i="29"/>
  <c r="AH104" i="29" s="1"/>
  <c r="AH107" i="29" s="1"/>
  <c r="R93" i="29"/>
  <c r="R82" i="29"/>
  <c r="AH82" i="29" s="1"/>
  <c r="AH85" i="29" s="1"/>
  <c r="R71" i="29"/>
  <c r="AH71" i="29" s="1"/>
  <c r="AH74" i="29" s="1"/>
  <c r="R60" i="29"/>
  <c r="AH60" i="29" s="1"/>
  <c r="AH63" i="29" s="1"/>
  <c r="R49" i="29"/>
  <c r="AH49" i="29" s="1"/>
  <c r="AH52" i="29" s="1"/>
  <c r="R38" i="29"/>
  <c r="AH38" i="29" s="1"/>
  <c r="AH41" i="29" s="1"/>
  <c r="R148" i="28"/>
  <c r="AH148" i="28" s="1"/>
  <c r="AH151" i="28" s="1"/>
  <c r="R137" i="28"/>
  <c r="AH137" i="28" s="1"/>
  <c r="AH140" i="28" s="1"/>
  <c r="R126" i="28"/>
  <c r="AH126" i="28" s="1"/>
  <c r="AH129" i="28" s="1"/>
  <c r="R115" i="28"/>
  <c r="AH115" i="28" s="1"/>
  <c r="AH118" i="28" s="1"/>
  <c r="R104" i="28"/>
  <c r="AH104" i="28" s="1"/>
  <c r="AH107" i="28" s="1"/>
  <c r="R93" i="28"/>
  <c r="AH93" i="28" s="1"/>
  <c r="AH96" i="28" s="1"/>
  <c r="R82" i="28"/>
  <c r="AH82" i="28" s="1"/>
  <c r="AH85" i="28" s="1"/>
  <c r="R71" i="28"/>
  <c r="AH71" i="28" s="1"/>
  <c r="AH74" i="28" s="1"/>
  <c r="R60" i="28"/>
  <c r="AH60" i="28" s="1"/>
  <c r="AH63" i="28" s="1"/>
  <c r="R49" i="28"/>
  <c r="AH49" i="28" s="1"/>
  <c r="AH52" i="28" s="1"/>
  <c r="R38" i="28"/>
  <c r="AH38" i="28" s="1"/>
  <c r="AH41" i="28" s="1"/>
  <c r="R148" i="31"/>
  <c r="AH148" i="31" s="1"/>
  <c r="AH151" i="31" s="1"/>
  <c r="R137" i="31"/>
  <c r="AH137" i="31" s="1"/>
  <c r="AH140" i="31" s="1"/>
  <c r="R126" i="31"/>
  <c r="AH126" i="31" s="1"/>
  <c r="AH129" i="31" s="1"/>
  <c r="R115" i="31"/>
  <c r="AH115" i="31" s="1"/>
  <c r="AH118" i="31" s="1"/>
  <c r="R104" i="31"/>
  <c r="AH104" i="31" s="1"/>
  <c r="AH107" i="31" s="1"/>
  <c r="R93" i="31"/>
  <c r="AH93" i="31" s="1"/>
  <c r="AH96" i="31" s="1"/>
  <c r="R82" i="31"/>
  <c r="AH82" i="31" s="1"/>
  <c r="AH85" i="31" s="1"/>
  <c r="R71" i="31"/>
  <c r="AH71" i="31" s="1"/>
  <c r="AH74" i="31" s="1"/>
  <c r="R60" i="31"/>
  <c r="AH60" i="31" s="1"/>
  <c r="AH63" i="31" s="1"/>
  <c r="R49" i="31"/>
  <c r="AH49" i="31" s="1"/>
  <c r="AH52" i="31" s="1"/>
  <c r="R38" i="31"/>
  <c r="AH38" i="31" s="1"/>
  <c r="AH41" i="31" s="1"/>
  <c r="AH163" i="26"/>
  <c r="AH163" i="30"/>
  <c r="AH163" i="29"/>
  <c r="AH163" i="31"/>
  <c r="AH71" i="30"/>
  <c r="AH74" i="30" s="1"/>
  <c r="AH60" i="30"/>
  <c r="AH63" i="30" s="1"/>
  <c r="R27" i="30"/>
  <c r="AH27" i="30" s="1"/>
  <c r="R27" i="27"/>
  <c r="AH27" i="27" s="1"/>
  <c r="AH30" i="27" s="1"/>
  <c r="R27" i="31"/>
  <c r="AH27" i="31" s="1"/>
  <c r="AH148" i="26"/>
  <c r="AH151" i="26" s="1"/>
  <c r="AH137" i="26"/>
  <c r="AH140" i="26" s="1"/>
  <c r="AH115" i="26"/>
  <c r="AH118" i="26" s="1"/>
  <c r="R27" i="26"/>
  <c r="AH27" i="26" s="1"/>
  <c r="AH30" i="26" s="1"/>
  <c r="R27" i="28"/>
  <c r="AH27" i="28" s="1"/>
  <c r="AH93" i="29"/>
  <c r="AH96" i="29" s="1"/>
  <c r="R27" i="29"/>
  <c r="AH27" i="29" s="1"/>
  <c r="AH169" i="27"/>
  <c r="AH162" i="26"/>
  <c r="AH169" i="26"/>
  <c r="AB166" i="27"/>
  <c r="AN177" i="27" s="1"/>
  <c r="AR177" i="27" s="1"/>
  <c r="AB170" i="27"/>
  <c r="AN178" i="27" s="1"/>
  <c r="AR178" i="27" s="1"/>
  <c r="AH164" i="28"/>
  <c r="AB166" i="26"/>
  <c r="AN177" i="26" s="1"/>
  <c r="AR177" i="26" s="1"/>
  <c r="AH168" i="29"/>
  <c r="AB170" i="28"/>
  <c r="AN178" i="28" s="1"/>
  <c r="AR178" i="28" s="1"/>
  <c r="AB166" i="31"/>
  <c r="AN177" i="31" s="1"/>
  <c r="AR177" i="31" s="1"/>
  <c r="AH169" i="29"/>
  <c r="AH169" i="30"/>
  <c r="AH168" i="27"/>
  <c r="AH164" i="31"/>
  <c r="AH99" i="26"/>
  <c r="AH162" i="31"/>
  <c r="AH164" i="29"/>
  <c r="AH54" i="32"/>
  <c r="AH169" i="31"/>
  <c r="AH164" i="26"/>
  <c r="AH164" i="30"/>
  <c r="AH162" i="28"/>
  <c r="AH168" i="30"/>
  <c r="AH168" i="28"/>
  <c r="AB166" i="28"/>
  <c r="AB170" i="31"/>
  <c r="AH33" i="26"/>
  <c r="AH45" i="26" s="1"/>
  <c r="AH168" i="26"/>
  <c r="AB166" i="29"/>
  <c r="AB170" i="26"/>
  <c r="AB170" i="29"/>
  <c r="AH99" i="27"/>
  <c r="AB166" i="30"/>
  <c r="AH168" i="31"/>
  <c r="AH162" i="29"/>
  <c r="AH33" i="29"/>
  <c r="AH45" i="29" s="1"/>
  <c r="AH56" i="29" s="1"/>
  <c r="AH162" i="27"/>
  <c r="AH162" i="30"/>
  <c r="AH164" i="27"/>
  <c r="AH99" i="30"/>
  <c r="AH169" i="28"/>
  <c r="AB170" i="30"/>
  <c r="AH131" i="14"/>
  <c r="AH116" i="14"/>
  <c r="AH61" i="14"/>
  <c r="AJ20" i="14"/>
  <c r="R148" i="14" s="1"/>
  <c r="AH163" i="14"/>
  <c r="AH65" i="14"/>
  <c r="AH66" i="14" s="1"/>
  <c r="AH54" i="14"/>
  <c r="AH43" i="14"/>
  <c r="AH44" i="14" s="1"/>
  <c r="AB52" i="14"/>
  <c r="AR49" i="14" s="1"/>
  <c r="AH50" i="14"/>
  <c r="AB41" i="14"/>
  <c r="AR38" i="14" s="1"/>
  <c r="AH39" i="14"/>
  <c r="Z99" i="14"/>
  <c r="AR97" i="14" s="1"/>
  <c r="AB169" i="14"/>
  <c r="AB96" i="14"/>
  <c r="AR93" i="14" s="1"/>
  <c r="AH94" i="14"/>
  <c r="AH132" i="14" l="1"/>
  <c r="AH173" i="30"/>
  <c r="AH55" i="14"/>
  <c r="AH173" i="27"/>
  <c r="AH45" i="14"/>
  <c r="AH47" i="14" s="1"/>
  <c r="AH56" i="31"/>
  <c r="AH58" i="31" s="1"/>
  <c r="AN179" i="14"/>
  <c r="AR179" i="14" s="1"/>
  <c r="AR171" i="14"/>
  <c r="AH172" i="14"/>
  <c r="AH167" i="14"/>
  <c r="AH56" i="28"/>
  <c r="AH58" i="29"/>
  <c r="AH67" i="29"/>
  <c r="AH47" i="29"/>
  <c r="AH47" i="26"/>
  <c r="AH56" i="26"/>
  <c r="R71" i="14"/>
  <c r="AH71" i="14" s="1"/>
  <c r="AH74" i="14" s="1"/>
  <c r="R82" i="14"/>
  <c r="AH82" i="14" s="1"/>
  <c r="AH85" i="14" s="1"/>
  <c r="R93" i="14"/>
  <c r="AH93" i="14" s="1"/>
  <c r="AH96" i="14" s="1"/>
  <c r="R104" i="14"/>
  <c r="AH104" i="14" s="1"/>
  <c r="AH107" i="14" s="1"/>
  <c r="R115" i="14"/>
  <c r="AH115" i="14" s="1"/>
  <c r="AH118" i="14" s="1"/>
  <c r="R38" i="14"/>
  <c r="AH38" i="14" s="1"/>
  <c r="AH41" i="14" s="1"/>
  <c r="R126" i="14"/>
  <c r="AH126" i="14" s="1"/>
  <c r="AH129" i="14" s="1"/>
  <c r="R49" i="14"/>
  <c r="AH49" i="14" s="1"/>
  <c r="AH52" i="14" s="1"/>
  <c r="R137" i="14"/>
  <c r="AH137" i="14" s="1"/>
  <c r="AH140" i="14" s="1"/>
  <c r="R60" i="14"/>
  <c r="AH60" i="14" s="1"/>
  <c r="AH63" i="14" s="1"/>
  <c r="AH148" i="14"/>
  <c r="AH151" i="14" s="1"/>
  <c r="R27" i="14"/>
  <c r="AH27" i="14" s="1"/>
  <c r="AH30" i="14" s="1"/>
  <c r="AH170" i="27"/>
  <c r="AH170" i="30"/>
  <c r="AR161" i="31"/>
  <c r="AH170" i="28"/>
  <c r="AH170" i="29"/>
  <c r="AR167" i="28"/>
  <c r="AH161" i="27"/>
  <c r="AH166" i="27" s="1"/>
  <c r="AR161" i="27"/>
  <c r="AH170" i="26"/>
  <c r="AR167" i="27"/>
  <c r="AR161" i="26"/>
  <c r="AH161" i="26"/>
  <c r="AH166" i="26" s="1"/>
  <c r="AH170" i="31"/>
  <c r="AN178" i="30"/>
  <c r="AR178" i="30" s="1"/>
  <c r="AR167" i="30"/>
  <c r="AN178" i="31"/>
  <c r="AR178" i="31" s="1"/>
  <c r="AR180" i="31" s="1"/>
  <c r="AR167" i="31"/>
  <c r="AR167" i="26"/>
  <c r="AN178" i="26"/>
  <c r="AR178" i="26" s="1"/>
  <c r="AR180" i="26" s="1"/>
  <c r="AH161" i="31"/>
  <c r="AH166" i="31" s="1"/>
  <c r="AH30" i="31"/>
  <c r="AH30" i="29"/>
  <c r="AH161" i="29"/>
  <c r="AH166" i="29" s="1"/>
  <c r="AR161" i="29"/>
  <c r="AN177" i="29"/>
  <c r="AR177" i="29" s="1"/>
  <c r="AH161" i="28"/>
  <c r="AH166" i="28" s="1"/>
  <c r="AH30" i="28"/>
  <c r="AN177" i="28"/>
  <c r="AR177" i="28" s="1"/>
  <c r="AR180" i="28" s="1"/>
  <c r="AR161" i="28"/>
  <c r="AN177" i="30"/>
  <c r="AR177" i="30" s="1"/>
  <c r="AR161" i="30"/>
  <c r="AN178" i="29"/>
  <c r="AR178" i="29" s="1"/>
  <c r="AR167" i="29"/>
  <c r="AH30" i="30"/>
  <c r="AH161" i="30"/>
  <c r="AH166" i="30" s="1"/>
  <c r="AR180" i="27"/>
  <c r="AH169" i="14"/>
  <c r="AH164" i="14"/>
  <c r="AH162" i="14"/>
  <c r="AB170" i="14"/>
  <c r="AR167" i="14" s="1"/>
  <c r="AH168" i="14"/>
  <c r="AB166" i="14"/>
  <c r="AH56" i="14" l="1"/>
  <c r="AH58" i="14" s="1"/>
  <c r="AH67" i="31"/>
  <c r="AH69" i="31" s="1"/>
  <c r="AH78" i="31"/>
  <c r="AH58" i="28"/>
  <c r="AH67" i="28"/>
  <c r="AH67" i="26"/>
  <c r="AH58" i="26"/>
  <c r="AH69" i="29"/>
  <c r="AH78" i="29"/>
  <c r="AR174" i="28"/>
  <c r="AR174" i="31"/>
  <c r="AH174" i="27"/>
  <c r="AR174" i="26"/>
  <c r="AH174" i="30"/>
  <c r="AR174" i="27"/>
  <c r="AR180" i="30"/>
  <c r="AH170" i="14"/>
  <c r="AR174" i="29"/>
  <c r="AR174" i="30"/>
  <c r="AR180" i="29"/>
  <c r="AN178" i="14"/>
  <c r="AR178" i="14" s="1"/>
  <c r="AH161" i="14"/>
  <c r="AH166" i="14" s="1"/>
  <c r="AN177" i="14"/>
  <c r="AR177" i="14" s="1"/>
  <c r="AR161" i="14"/>
  <c r="AR174" i="14" s="1"/>
  <c r="AH67" i="14" l="1"/>
  <c r="AH69" i="14" s="1"/>
  <c r="AH89" i="31"/>
  <c r="AH80" i="31"/>
  <c r="AH69" i="28"/>
  <c r="AH78" i="28"/>
  <c r="AH69" i="26"/>
  <c r="AH78" i="26"/>
  <c r="AH80" i="29"/>
  <c r="AH89" i="29"/>
  <c r="AR180" i="14"/>
  <c r="J13" i="13"/>
  <c r="J22" i="13" s="1"/>
  <c r="X35" i="13" s="1"/>
  <c r="AH78" i="14" l="1"/>
  <c r="AH80" i="14" s="1"/>
  <c r="X36" i="13"/>
  <c r="AR34" i="13" s="1"/>
  <c r="AH35" i="13"/>
  <c r="AH172" i="13" s="1"/>
  <c r="AB172" i="13"/>
  <c r="AB173" i="13" s="1"/>
  <c r="AH100" i="31"/>
  <c r="AH91" i="31"/>
  <c r="AH80" i="28"/>
  <c r="AH89" i="28"/>
  <c r="AH80" i="26"/>
  <c r="AH89" i="26"/>
  <c r="AH91" i="29"/>
  <c r="AH100" i="29"/>
  <c r="J17" i="13"/>
  <c r="AH13" i="13"/>
  <c r="AJ12" i="13" s="1"/>
  <c r="AH89" i="14" l="1"/>
  <c r="AN179" i="13"/>
  <c r="AR179" i="13" s="1"/>
  <c r="AR171" i="13"/>
  <c r="AH111" i="31"/>
  <c r="AH102" i="31"/>
  <c r="AH100" i="14"/>
  <c r="AH91" i="14"/>
  <c r="AH91" i="28"/>
  <c r="AH100" i="28"/>
  <c r="AH91" i="26"/>
  <c r="AH100" i="26"/>
  <c r="AH102" i="29"/>
  <c r="AH111" i="29"/>
  <c r="Z32" i="13"/>
  <c r="S31" i="13"/>
  <c r="AH22" i="13"/>
  <c r="AH31" i="13" s="1"/>
  <c r="AH17" i="13"/>
  <c r="AB28" i="13"/>
  <c r="S120" i="13"/>
  <c r="S87" i="13"/>
  <c r="AH87" i="13" s="1"/>
  <c r="S32" i="13"/>
  <c r="S76" i="13"/>
  <c r="AH76" i="13" s="1"/>
  <c r="S153" i="13"/>
  <c r="AH153" i="13" s="1"/>
  <c r="S98" i="13"/>
  <c r="S109" i="13"/>
  <c r="S65" i="13"/>
  <c r="J22" i="32"/>
  <c r="X35" i="32" s="1"/>
  <c r="S142" i="13"/>
  <c r="AH142" i="13" s="1"/>
  <c r="S131" i="13"/>
  <c r="X36" i="32" l="1"/>
  <c r="AR34" i="32" s="1"/>
  <c r="AH35" i="32"/>
  <c r="AH122" i="31"/>
  <c r="AH113" i="31"/>
  <c r="AH102" i="14"/>
  <c r="AH111" i="14"/>
  <c r="AH111" i="28"/>
  <c r="AH102" i="28"/>
  <c r="AH108" i="13"/>
  <c r="AH97" i="13"/>
  <c r="AH86" i="13"/>
  <c r="AH88" i="13" s="1"/>
  <c r="AH53" i="13"/>
  <c r="AH55" i="13" s="1"/>
  <c r="AH75" i="13"/>
  <c r="AH77" i="13" s="1"/>
  <c r="AH152" i="13"/>
  <c r="AH154" i="13" s="1"/>
  <c r="AH64" i="13"/>
  <c r="AH141" i="13"/>
  <c r="AH143" i="13" s="1"/>
  <c r="AH34" i="13"/>
  <c r="AH36" i="13" s="1"/>
  <c r="AH130" i="13"/>
  <c r="AH42" i="13"/>
  <c r="AH119" i="13"/>
  <c r="AH113" i="29"/>
  <c r="AH122" i="29"/>
  <c r="AH102" i="26"/>
  <c r="AH111" i="26"/>
  <c r="AH32" i="13"/>
  <c r="S120" i="32"/>
  <c r="S76" i="32"/>
  <c r="AH76" i="32" s="1"/>
  <c r="S109" i="32"/>
  <c r="S87" i="32"/>
  <c r="AH87" i="32" s="1"/>
  <c r="S153" i="32"/>
  <c r="AH153" i="32" s="1"/>
  <c r="S32" i="32"/>
  <c r="S142" i="32"/>
  <c r="AH142" i="32" s="1"/>
  <c r="S65" i="32"/>
  <c r="S98" i="32"/>
  <c r="Z32" i="32"/>
  <c r="S31" i="32"/>
  <c r="S131" i="32"/>
  <c r="Z33" i="13"/>
  <c r="AH36" i="32" l="1"/>
  <c r="AH124" i="31"/>
  <c r="AH133" i="31"/>
  <c r="AH122" i="14"/>
  <c r="AH113" i="14"/>
  <c r="AH33" i="13"/>
  <c r="AH45" i="13" s="1"/>
  <c r="AH47" i="13" s="1"/>
  <c r="AH122" i="28"/>
  <c r="AH113" i="28"/>
  <c r="AH124" i="29"/>
  <c r="AH133" i="29"/>
  <c r="AH113" i="26"/>
  <c r="AH122" i="26"/>
  <c r="AH32" i="32"/>
  <c r="Z33" i="32"/>
  <c r="AR31" i="32" s="1"/>
  <c r="AF19" i="32"/>
  <c r="R19" i="32"/>
  <c r="X19" i="32"/>
  <c r="V19" i="32"/>
  <c r="V21" i="32"/>
  <c r="AB21" i="32"/>
  <c r="N18" i="32"/>
  <c r="AB19" i="32"/>
  <c r="AD19" i="32"/>
  <c r="P20" i="32"/>
  <c r="AD21" i="32"/>
  <c r="N20" i="32"/>
  <c r="P18" i="32"/>
  <c r="X21" i="32"/>
  <c r="T21" i="32"/>
  <c r="Z19" i="32"/>
  <c r="P22" i="32"/>
  <c r="R21" i="32"/>
  <c r="S130" i="13"/>
  <c r="J19" i="32"/>
  <c r="T19" i="32"/>
  <c r="T17" i="32"/>
  <c r="L20" i="32"/>
  <c r="W126" i="13"/>
  <c r="S119" i="13"/>
  <c r="R17" i="32"/>
  <c r="S108" i="13"/>
  <c r="AF21" i="32"/>
  <c r="Z21" i="32"/>
  <c r="Z98" i="13"/>
  <c r="Z65" i="32" l="1"/>
  <c r="AH65" i="32" s="1"/>
  <c r="X68" i="32"/>
  <c r="AH135" i="31"/>
  <c r="AH144" i="31"/>
  <c r="AH133" i="14"/>
  <c r="AH124" i="14"/>
  <c r="AH124" i="28"/>
  <c r="AH133" i="28"/>
  <c r="AH124" i="26"/>
  <c r="AH133" i="26"/>
  <c r="AH135" i="29"/>
  <c r="AH144" i="29"/>
  <c r="AB105" i="13"/>
  <c r="AB83" i="32"/>
  <c r="AH28" i="13"/>
  <c r="AB39" i="13"/>
  <c r="AB116" i="13"/>
  <c r="AH116" i="13" s="1"/>
  <c r="V17" i="32"/>
  <c r="AB94" i="32" s="1"/>
  <c r="AB96" i="32" s="1"/>
  <c r="AR93" i="32" s="1"/>
  <c r="AB94" i="13"/>
  <c r="N16" i="32"/>
  <c r="AB50" i="32" s="1"/>
  <c r="AH50" i="32" s="1"/>
  <c r="AB50" i="13"/>
  <c r="AB52" i="13" s="1"/>
  <c r="AR49" i="13" s="1"/>
  <c r="AB17" i="32"/>
  <c r="AB127" i="32" s="1"/>
  <c r="AB127" i="13"/>
  <c r="P16" i="32"/>
  <c r="AB61" i="32" s="1"/>
  <c r="AH61" i="32" s="1"/>
  <c r="AB61" i="13"/>
  <c r="AH18" i="13"/>
  <c r="AH16" i="13"/>
  <c r="AJ16" i="13" s="1"/>
  <c r="W71" i="13"/>
  <c r="AB149" i="13"/>
  <c r="AB151" i="13" s="1"/>
  <c r="AR148" i="13" s="1"/>
  <c r="AB23" i="32"/>
  <c r="W82" i="13"/>
  <c r="Z131" i="13"/>
  <c r="Z132" i="13" s="1"/>
  <c r="AH21" i="13"/>
  <c r="Z65" i="13"/>
  <c r="AH65" i="13" s="1"/>
  <c r="AH20" i="32"/>
  <c r="S64" i="13"/>
  <c r="AH19" i="32"/>
  <c r="X17" i="32"/>
  <c r="AB138" i="13"/>
  <c r="AH138" i="13" s="1"/>
  <c r="L18" i="32"/>
  <c r="AH18" i="32" s="1"/>
  <c r="X23" i="32"/>
  <c r="W115" i="13"/>
  <c r="AB83" i="13"/>
  <c r="W38" i="13"/>
  <c r="S43" i="13"/>
  <c r="AH98" i="13"/>
  <c r="Z99" i="13"/>
  <c r="AH105" i="13"/>
  <c r="AB107" i="13"/>
  <c r="AR104" i="13" s="1"/>
  <c r="AB72" i="32"/>
  <c r="Z66" i="32"/>
  <c r="AR64" i="32" s="1"/>
  <c r="L16" i="32"/>
  <c r="Z17" i="32"/>
  <c r="AB116" i="32" s="1"/>
  <c r="Z23" i="32"/>
  <c r="X123" i="32" s="1"/>
  <c r="W104" i="13"/>
  <c r="S64" i="32"/>
  <c r="AD17" i="32"/>
  <c r="AB138" i="32" s="1"/>
  <c r="Z109" i="13"/>
  <c r="W137" i="13"/>
  <c r="AH20" i="13"/>
  <c r="AH19" i="13"/>
  <c r="J21" i="32"/>
  <c r="AH21" i="32" s="1"/>
  <c r="AB72" i="13"/>
  <c r="V23" i="32"/>
  <c r="X101" i="32" s="1"/>
  <c r="S42" i="13"/>
  <c r="AF17" i="32"/>
  <c r="AB149" i="32" s="1"/>
  <c r="W93" i="13"/>
  <c r="W148" i="13"/>
  <c r="J17" i="32"/>
  <c r="Z43" i="13"/>
  <c r="S97" i="13"/>
  <c r="W60" i="13"/>
  <c r="L22" i="32"/>
  <c r="W49" i="13"/>
  <c r="Z120" i="13"/>
  <c r="X124" i="32" l="1"/>
  <c r="AR122" i="32" s="1"/>
  <c r="AH123" i="32"/>
  <c r="AH124" i="32" s="1"/>
  <c r="S130" i="32"/>
  <c r="X134" i="32"/>
  <c r="AH22" i="32"/>
  <c r="X46" i="32"/>
  <c r="X69" i="32"/>
  <c r="AR67" i="32" s="1"/>
  <c r="AH68" i="32"/>
  <c r="AH69" i="32" s="1"/>
  <c r="X102" i="32"/>
  <c r="AR100" i="32" s="1"/>
  <c r="AH101" i="32"/>
  <c r="AH102" i="32" s="1"/>
  <c r="S108" i="32"/>
  <c r="X112" i="32"/>
  <c r="AH146" i="31"/>
  <c r="AH155" i="31"/>
  <c r="AH157" i="31" s="1"/>
  <c r="AH135" i="14"/>
  <c r="AH144" i="14"/>
  <c r="AH135" i="28"/>
  <c r="AH144" i="28"/>
  <c r="AH135" i="26"/>
  <c r="AH144" i="26"/>
  <c r="AH146" i="29"/>
  <c r="AH155" i="29"/>
  <c r="AH157" i="29" s="1"/>
  <c r="AB162" i="13"/>
  <c r="AJ20" i="32"/>
  <c r="AB28" i="32"/>
  <c r="AB30" i="13"/>
  <c r="AR27" i="13" s="1"/>
  <c r="AJ18" i="13"/>
  <c r="AJ18" i="32"/>
  <c r="AB39" i="32"/>
  <c r="AB105" i="32"/>
  <c r="AB107" i="32" s="1"/>
  <c r="AR104" i="32" s="1"/>
  <c r="AJ20" i="13"/>
  <c r="AB140" i="13"/>
  <c r="AR137" i="13" s="1"/>
  <c r="AH149" i="13"/>
  <c r="Z131" i="32"/>
  <c r="Z132" i="32" s="1"/>
  <c r="AR130" i="32" s="1"/>
  <c r="AB118" i="13"/>
  <c r="AR115" i="13" s="1"/>
  <c r="Z109" i="32"/>
  <c r="AH109" i="32" s="1"/>
  <c r="AH94" i="32"/>
  <c r="Z66" i="13"/>
  <c r="AB63" i="32"/>
  <c r="AR60" i="32" s="1"/>
  <c r="AH50" i="13"/>
  <c r="AB52" i="32"/>
  <c r="AR49" i="32" s="1"/>
  <c r="AH43" i="13"/>
  <c r="AH168" i="13" s="1"/>
  <c r="AH131" i="13"/>
  <c r="AH132" i="13" s="1"/>
  <c r="AH66" i="13"/>
  <c r="AH83" i="13"/>
  <c r="AB85" i="13"/>
  <c r="AR82" i="13" s="1"/>
  <c r="Z121" i="13"/>
  <c r="AH120" i="13"/>
  <c r="AH121" i="13" s="1"/>
  <c r="AH16" i="32"/>
  <c r="AB129" i="32"/>
  <c r="AR126" i="32" s="1"/>
  <c r="AH127" i="32"/>
  <c r="S97" i="32"/>
  <c r="Z98" i="32"/>
  <c r="AH23" i="32"/>
  <c r="AB96" i="13"/>
  <c r="AR93" i="13" s="1"/>
  <c r="AH94" i="13"/>
  <c r="Z43" i="32"/>
  <c r="S43" i="32"/>
  <c r="S42" i="32"/>
  <c r="AH149" i="32"/>
  <c r="AB151" i="32"/>
  <c r="AR148" i="32" s="1"/>
  <c r="AB74" i="13"/>
  <c r="AR71" i="13" s="1"/>
  <c r="AH72" i="13"/>
  <c r="AH109" i="13"/>
  <c r="AH110" i="13" s="1"/>
  <c r="Z110" i="13"/>
  <c r="AH138" i="32"/>
  <c r="AB140" i="32"/>
  <c r="AR137" i="32" s="1"/>
  <c r="AB169" i="13"/>
  <c r="AH99" i="13"/>
  <c r="AB129" i="13"/>
  <c r="AR126" i="13" s="1"/>
  <c r="AH127" i="13"/>
  <c r="AH83" i="32"/>
  <c r="AB85" i="32"/>
  <c r="AR82" i="32" s="1"/>
  <c r="Z44" i="13"/>
  <c r="AB168" i="13"/>
  <c r="AH39" i="13"/>
  <c r="AB41" i="13"/>
  <c r="AR38" i="13" s="1"/>
  <c r="AB63" i="13"/>
  <c r="AR60" i="13" s="1"/>
  <c r="AH61" i="13"/>
  <c r="AH72" i="32"/>
  <c r="AB74" i="32"/>
  <c r="AR71" i="32" s="1"/>
  <c r="AH17" i="32"/>
  <c r="S119" i="32"/>
  <c r="Z120" i="32"/>
  <c r="AH167" i="13"/>
  <c r="AH116" i="32"/>
  <c r="AB118" i="32"/>
  <c r="AR115" i="32" s="1"/>
  <c r="AB163" i="13"/>
  <c r="AH152" i="32" l="1"/>
  <c r="AH154" i="32" s="1"/>
  <c r="AH64" i="32"/>
  <c r="AH66" i="32" s="1"/>
  <c r="AH130" i="32"/>
  <c r="AH31" i="32"/>
  <c r="AH33" i="32" s="1"/>
  <c r="AH141" i="32"/>
  <c r="AH143" i="32" s="1"/>
  <c r="AH53" i="32"/>
  <c r="AH55" i="32" s="1"/>
  <c r="AH42" i="32"/>
  <c r="AH167" i="32" s="1"/>
  <c r="AH119" i="32"/>
  <c r="AH97" i="32"/>
  <c r="AH75" i="32"/>
  <c r="AH77" i="32" s="1"/>
  <c r="AH86" i="32"/>
  <c r="AH88" i="32" s="1"/>
  <c r="AH108" i="32"/>
  <c r="AH110" i="32" s="1"/>
  <c r="X47" i="32"/>
  <c r="AR45" i="32" s="1"/>
  <c r="AH46" i="32"/>
  <c r="AB172" i="32"/>
  <c r="X113" i="32"/>
  <c r="AR111" i="32" s="1"/>
  <c r="AH112" i="32"/>
  <c r="AH113" i="32" s="1"/>
  <c r="X135" i="32"/>
  <c r="AR133" i="32" s="1"/>
  <c r="AH134" i="32"/>
  <c r="AH135" i="32" s="1"/>
  <c r="AH171" i="31"/>
  <c r="AH173" i="31" s="1"/>
  <c r="AH174" i="31" s="1"/>
  <c r="AH171" i="29"/>
  <c r="AH173" i="29" s="1"/>
  <c r="AH174" i="29" s="1"/>
  <c r="AH146" i="14"/>
  <c r="AH155" i="14"/>
  <c r="AH146" i="28"/>
  <c r="AH155" i="28"/>
  <c r="AH157" i="28" s="1"/>
  <c r="R148" i="13"/>
  <c r="AH148" i="13" s="1"/>
  <c r="AH151" i="13" s="1"/>
  <c r="AH146" i="26"/>
  <c r="AH155" i="26"/>
  <c r="AB164" i="32"/>
  <c r="R137" i="13"/>
  <c r="AH137" i="13" s="1"/>
  <c r="AH140" i="13" s="1"/>
  <c r="R71" i="13"/>
  <c r="AH71" i="13" s="1"/>
  <c r="AH74" i="13" s="1"/>
  <c r="R82" i="13"/>
  <c r="AH82" i="13" s="1"/>
  <c r="AH85" i="13" s="1"/>
  <c r="R93" i="13"/>
  <c r="AH93" i="13" s="1"/>
  <c r="AH96" i="13" s="1"/>
  <c r="R104" i="13"/>
  <c r="AH104" i="13" s="1"/>
  <c r="AH107" i="13" s="1"/>
  <c r="R115" i="13"/>
  <c r="AH115" i="13" s="1"/>
  <c r="AH118" i="13" s="1"/>
  <c r="R38" i="13"/>
  <c r="AH38" i="13" s="1"/>
  <c r="AH41" i="13" s="1"/>
  <c r="R126" i="13"/>
  <c r="AH126" i="13" s="1"/>
  <c r="AH129" i="13" s="1"/>
  <c r="R49" i="13"/>
  <c r="AH49" i="13" s="1"/>
  <c r="AH52" i="13" s="1"/>
  <c r="R60" i="13"/>
  <c r="AH60" i="13" s="1"/>
  <c r="AH63" i="13" s="1"/>
  <c r="AH131" i="32"/>
  <c r="AH105" i="32"/>
  <c r="AH164" i="32" s="1"/>
  <c r="AH163" i="13"/>
  <c r="R27" i="13"/>
  <c r="AH27" i="13" s="1"/>
  <c r="AH30" i="13" s="1"/>
  <c r="AB166" i="13"/>
  <c r="AN177" i="13" s="1"/>
  <c r="AR177" i="13" s="1"/>
  <c r="AH44" i="13"/>
  <c r="AH56" i="13" s="1"/>
  <c r="Z110" i="32"/>
  <c r="AR108" i="32" s="1"/>
  <c r="AB170" i="13"/>
  <c r="AN178" i="13" s="1"/>
  <c r="AR178" i="13" s="1"/>
  <c r="AH162" i="13"/>
  <c r="AH39" i="32"/>
  <c r="AH162" i="32" s="1"/>
  <c r="AB41" i="32"/>
  <c r="AR38" i="32" s="1"/>
  <c r="AB162" i="32"/>
  <c r="Z44" i="32"/>
  <c r="AR42" i="32" s="1"/>
  <c r="AB168" i="32"/>
  <c r="AH164" i="13"/>
  <c r="AJ16" i="32"/>
  <c r="AB163" i="32"/>
  <c r="AH28" i="32"/>
  <c r="AH163" i="32" s="1"/>
  <c r="AB30" i="32"/>
  <c r="AR27" i="32" s="1"/>
  <c r="AH169" i="13"/>
  <c r="AH170" i="13" s="1"/>
  <c r="AH120" i="32"/>
  <c r="Z121" i="32"/>
  <c r="AR119" i="32" s="1"/>
  <c r="AH98" i="32"/>
  <c r="AB169" i="32"/>
  <c r="Z99" i="32"/>
  <c r="AR97" i="32" s="1"/>
  <c r="AH43" i="32"/>
  <c r="AH168" i="32" s="1"/>
  <c r="AH132" i="32" l="1"/>
  <c r="AH121" i="32"/>
  <c r="AH171" i="28"/>
  <c r="AH173" i="28" s="1"/>
  <c r="AH174" i="28" s="1"/>
  <c r="AB173" i="32"/>
  <c r="AX173" i="32"/>
  <c r="AH47" i="32"/>
  <c r="AH172" i="32"/>
  <c r="AH173" i="32" s="1"/>
  <c r="AH157" i="14"/>
  <c r="AH171" i="14"/>
  <c r="AH173" i="14" s="1"/>
  <c r="AH174" i="14" s="1"/>
  <c r="AH157" i="26"/>
  <c r="AH171" i="26"/>
  <c r="AH173" i="26" s="1"/>
  <c r="AH174" i="26" s="1"/>
  <c r="AH58" i="13"/>
  <c r="AH67" i="13"/>
  <c r="R115" i="32"/>
  <c r="AH115" i="32" s="1"/>
  <c r="AH118" i="32" s="1"/>
  <c r="R104" i="32"/>
  <c r="AH104" i="32" s="1"/>
  <c r="AH107" i="32" s="1"/>
  <c r="R137" i="32"/>
  <c r="AH137" i="32" s="1"/>
  <c r="AH140" i="32" s="1"/>
  <c r="R93" i="32"/>
  <c r="AH93" i="32" s="1"/>
  <c r="AH96" i="32" s="1"/>
  <c r="R49" i="32"/>
  <c r="AH49" i="32" s="1"/>
  <c r="AH52" i="32" s="1"/>
  <c r="R82" i="32"/>
  <c r="AH82" i="32" s="1"/>
  <c r="AH85" i="32" s="1"/>
  <c r="R71" i="32"/>
  <c r="AH71" i="32" s="1"/>
  <c r="AH74" i="32" s="1"/>
  <c r="R148" i="32"/>
  <c r="AH148" i="32" s="1"/>
  <c r="AH151" i="32" s="1"/>
  <c r="R60" i="32"/>
  <c r="AH60" i="32" s="1"/>
  <c r="AH63" i="32" s="1"/>
  <c r="R126" i="32"/>
  <c r="AH126" i="32" s="1"/>
  <c r="AH129" i="32" s="1"/>
  <c r="R38" i="32"/>
  <c r="AH38" i="32" s="1"/>
  <c r="AH41" i="32" s="1"/>
  <c r="AR161" i="13"/>
  <c r="R27" i="32"/>
  <c r="AH27" i="32" s="1"/>
  <c r="AR180" i="13"/>
  <c r="AB166" i="32"/>
  <c r="AR167" i="13"/>
  <c r="AH169" i="32"/>
  <c r="AH170" i="32" s="1"/>
  <c r="AH161" i="13"/>
  <c r="AH166" i="13" s="1"/>
  <c r="AB170" i="32"/>
  <c r="AH99" i="32"/>
  <c r="AH44" i="32"/>
  <c r="AR171" i="32" l="1"/>
  <c r="AN179" i="32"/>
  <c r="AR179" i="32" s="1"/>
  <c r="AH69" i="13"/>
  <c r="AH78" i="13"/>
  <c r="AN177" i="32"/>
  <c r="AR161" i="32"/>
  <c r="AR167" i="32"/>
  <c r="AN178" i="32"/>
  <c r="AR178" i="32" s="1"/>
  <c r="AR174" i="13"/>
  <c r="AH30" i="32"/>
  <c r="AH161" i="32"/>
  <c r="AH166" i="32" s="1"/>
  <c r="AH174" i="32" s="1"/>
  <c r="AH80" i="13" l="1"/>
  <c r="AH89" i="13"/>
  <c r="AR174" i="32"/>
  <c r="AN180" i="32"/>
  <c r="AR177" i="32"/>
  <c r="AR180" i="32" s="1"/>
  <c r="AH91" i="13" l="1"/>
  <c r="AH100" i="13"/>
  <c r="AH102" i="13" l="1"/>
  <c r="AH111" i="13"/>
  <c r="AH113" i="13" l="1"/>
  <c r="AH122" i="13"/>
  <c r="AH124" i="13" l="1"/>
  <c r="AH133" i="13"/>
  <c r="AH135" i="13" l="1"/>
  <c r="AH144" i="13"/>
  <c r="AH146" i="13" l="1"/>
  <c r="AH155" i="13"/>
  <c r="AH157" i="13" s="1"/>
  <c r="AH171" i="13" l="1"/>
  <c r="AH173" i="13" s="1"/>
  <c r="AH17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8" authorId="0" shapeId="0" xr:uid="{90917147-7C2B-4C97-93D9-39937C219D6D}">
      <text>
        <r>
          <rPr>
            <sz val="9"/>
            <color indexed="81"/>
            <rFont val="MS P ゴシック"/>
            <family val="3"/>
            <charset val="128"/>
          </rPr>
          <t xml:space="preserve">直接入力
</t>
        </r>
      </text>
    </comment>
    <comment ref="G23" authorId="0" shapeId="0" xr:uid="{23304B0B-6963-495C-8F4C-D3582911FA82}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G44" authorId="0" shapeId="0" xr:uid="{033F32ED-4CF5-45CB-9767-AF283A5E8586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<sst xmlns="http://schemas.openxmlformats.org/spreadsheetml/2006/main" count="10582" uniqueCount="625">
  <si>
    <t>電力</t>
    <rPh sb="0" eb="2">
      <t>デンリョク</t>
    </rPh>
    <phoneticPr fontId="4"/>
  </si>
  <si>
    <t>合計</t>
    <rPh sb="0" eb="2">
      <t>ゴウケイ</t>
    </rPh>
    <phoneticPr fontId="4"/>
  </si>
  <si>
    <t>種別</t>
    <rPh sb="0" eb="2">
      <t>シュベツ</t>
    </rPh>
    <phoneticPr fontId="4"/>
  </si>
  <si>
    <t>学校名</t>
    <rPh sb="0" eb="2">
      <t>ガッコウ</t>
    </rPh>
    <rPh sb="2" eb="3">
      <t>メイ</t>
    </rPh>
    <phoneticPr fontId="4"/>
  </si>
  <si>
    <t>その他計</t>
    <rPh sb="2" eb="3">
      <t>タ</t>
    </rPh>
    <rPh sb="3" eb="4">
      <t>ケイ</t>
    </rPh>
    <phoneticPr fontId="4"/>
  </si>
  <si>
    <t>その他電力を消費するものを記入してください。</t>
    <rPh sb="2" eb="3">
      <t>タ</t>
    </rPh>
    <rPh sb="3" eb="5">
      <t>デンリョク</t>
    </rPh>
    <rPh sb="6" eb="8">
      <t>ショウヒ</t>
    </rPh>
    <rPh sb="13" eb="15">
      <t>キニュウ</t>
    </rPh>
    <phoneticPr fontId="17"/>
  </si>
  <si>
    <t>その他</t>
    <rPh sb="2" eb="3">
      <t>タ</t>
    </rPh>
    <phoneticPr fontId="4"/>
  </si>
  <si>
    <t>室内機計</t>
    <rPh sb="0" eb="3">
      <t>シツナイキ</t>
    </rPh>
    <rPh sb="3" eb="4">
      <t>ケイ</t>
    </rPh>
    <phoneticPr fontId="4"/>
  </si>
  <si>
    <t>天井吊型室内機</t>
    <rPh sb="0" eb="2">
      <t>テンジョウ</t>
    </rPh>
    <rPh sb="2" eb="3">
      <t>ツリ</t>
    </rPh>
    <rPh sb="3" eb="4">
      <t>カタ</t>
    </rPh>
    <rPh sb="4" eb="7">
      <t>シツナイキ</t>
    </rPh>
    <phoneticPr fontId="17"/>
  </si>
  <si>
    <t>室内機</t>
    <rPh sb="0" eb="3">
      <t>シツナイキ</t>
    </rPh>
    <phoneticPr fontId="4"/>
  </si>
  <si>
    <t>室外機計</t>
    <rPh sb="0" eb="3">
      <t>シツガイキ</t>
    </rPh>
    <rPh sb="3" eb="4">
      <t>ケイ</t>
    </rPh>
    <phoneticPr fontId="4"/>
  </si>
  <si>
    <t>ビル用マルチ型　ガスヒートポンプエアコン室外機</t>
    <rPh sb="2" eb="3">
      <t>ヨウ</t>
    </rPh>
    <rPh sb="6" eb="7">
      <t>カタ</t>
    </rPh>
    <rPh sb="20" eb="23">
      <t>シツガイキ</t>
    </rPh>
    <phoneticPr fontId="17"/>
  </si>
  <si>
    <t>室外機</t>
    <rPh sb="0" eb="3">
      <t>シツガイキ</t>
    </rPh>
    <phoneticPr fontId="4"/>
  </si>
  <si>
    <t>（㎥/台）</t>
    <rPh sb="3" eb="4">
      <t>ダイ</t>
    </rPh>
    <phoneticPr fontId="4"/>
  </si>
  <si>
    <t>（kW）</t>
    <phoneticPr fontId="4"/>
  </si>
  <si>
    <t>（kW/台）</t>
    <rPh sb="4" eb="5">
      <t>ダイ</t>
    </rPh>
    <phoneticPr fontId="4"/>
  </si>
  <si>
    <t>（kW）</t>
  </si>
  <si>
    <t>（kW/台）</t>
  </si>
  <si>
    <t>暖房</t>
    <rPh sb="0" eb="2">
      <t>ダンボウ</t>
    </rPh>
    <phoneticPr fontId="4"/>
  </si>
  <si>
    <t>冷房</t>
    <rPh sb="0" eb="2">
      <t>レイボウ</t>
    </rPh>
    <phoneticPr fontId="4"/>
  </si>
  <si>
    <t>消費電力
合計</t>
    <rPh sb="0" eb="2">
      <t>ショウヒ</t>
    </rPh>
    <rPh sb="2" eb="4">
      <t>デンリョク</t>
    </rPh>
    <rPh sb="5" eb="6">
      <t>ゴウ</t>
    </rPh>
    <rPh sb="6" eb="7">
      <t>ケイ</t>
    </rPh>
    <phoneticPr fontId="4"/>
  </si>
  <si>
    <t>消費電力</t>
    <rPh sb="0" eb="2">
      <t>ショウヒ</t>
    </rPh>
    <rPh sb="2" eb="4">
      <t>デンリョク</t>
    </rPh>
    <phoneticPr fontId="4"/>
  </si>
  <si>
    <t>定格ガス消費量合計</t>
    <rPh sb="0" eb="2">
      <t>テイカク</t>
    </rPh>
    <rPh sb="4" eb="6">
      <t>ショウヒ</t>
    </rPh>
    <rPh sb="6" eb="7">
      <t>リョウ</t>
    </rPh>
    <rPh sb="7" eb="8">
      <t>ゴウ</t>
    </rPh>
    <rPh sb="8" eb="9">
      <t>ケイ</t>
    </rPh>
    <phoneticPr fontId="4"/>
  </si>
  <si>
    <t>定格ガス消費量</t>
    <rPh sb="0" eb="2">
      <t>テイカク</t>
    </rPh>
    <rPh sb="4" eb="6">
      <t>ショウヒ</t>
    </rPh>
    <rPh sb="6" eb="7">
      <t>リョウ</t>
    </rPh>
    <phoneticPr fontId="4"/>
  </si>
  <si>
    <t>待機時</t>
    <rPh sb="0" eb="2">
      <t>タイキ</t>
    </rPh>
    <rPh sb="2" eb="3">
      <t>ジ</t>
    </rPh>
    <phoneticPr fontId="4"/>
  </si>
  <si>
    <t>定格消費電力合計</t>
    <rPh sb="0" eb="2">
      <t>テイカク</t>
    </rPh>
    <rPh sb="2" eb="4">
      <t>ショウヒ</t>
    </rPh>
    <rPh sb="4" eb="6">
      <t>デンリョク</t>
    </rPh>
    <rPh sb="6" eb="7">
      <t>ゴウ</t>
    </rPh>
    <rPh sb="7" eb="8">
      <t>ケイ</t>
    </rPh>
    <phoneticPr fontId="4"/>
  </si>
  <si>
    <t>定格消費電力</t>
    <rPh sb="0" eb="2">
      <t>テイカク</t>
    </rPh>
    <rPh sb="2" eb="4">
      <t>ショウヒ</t>
    </rPh>
    <rPh sb="4" eb="6">
      <t>デンリョク</t>
    </rPh>
    <phoneticPr fontId="4"/>
  </si>
  <si>
    <t>電圧</t>
    <rPh sb="0" eb="2">
      <t>デンアツ</t>
    </rPh>
    <phoneticPr fontId="4"/>
  </si>
  <si>
    <t>相</t>
    <rPh sb="0" eb="1">
      <t>ソウ</t>
    </rPh>
    <phoneticPr fontId="4"/>
  </si>
  <si>
    <t>定格能力合計</t>
    <rPh sb="0" eb="2">
      <t>テイカク</t>
    </rPh>
    <rPh sb="2" eb="4">
      <t>ノウリョク</t>
    </rPh>
    <rPh sb="4" eb="5">
      <t>ゴウ</t>
    </rPh>
    <rPh sb="5" eb="6">
      <t>ケイ</t>
    </rPh>
    <phoneticPr fontId="4"/>
  </si>
  <si>
    <t>定格能力</t>
    <rPh sb="0" eb="2">
      <t>テイカク</t>
    </rPh>
    <rPh sb="2" eb="4">
      <t>ノウリョク</t>
    </rPh>
    <phoneticPr fontId="4"/>
  </si>
  <si>
    <t>備考</t>
    <rPh sb="0" eb="2">
      <t>ビコウ</t>
    </rPh>
    <phoneticPr fontId="4"/>
  </si>
  <si>
    <t>機器能力</t>
    <rPh sb="0" eb="2">
      <t>キキ</t>
    </rPh>
    <rPh sb="2" eb="4">
      <t>ノウリョク</t>
    </rPh>
    <phoneticPr fontId="4"/>
  </si>
  <si>
    <t>台数
（台）</t>
    <rPh sb="0" eb="2">
      <t>ダイスウ</t>
    </rPh>
    <rPh sb="4" eb="5">
      <t>ダイ</t>
    </rPh>
    <phoneticPr fontId="4"/>
  </si>
  <si>
    <t>設置場所</t>
    <rPh sb="0" eb="2">
      <t>セッチ</t>
    </rPh>
    <rPh sb="2" eb="4">
      <t>バショ</t>
    </rPh>
    <phoneticPr fontId="4"/>
  </si>
  <si>
    <t>型番</t>
    <rPh sb="0" eb="2">
      <t>カタバン</t>
    </rPh>
    <phoneticPr fontId="4"/>
  </si>
  <si>
    <t>製造者名</t>
    <rPh sb="0" eb="3">
      <t>セイゾウシャ</t>
    </rPh>
    <rPh sb="3" eb="4">
      <t>メイ</t>
    </rPh>
    <phoneticPr fontId="4"/>
  </si>
  <si>
    <t>機器名称</t>
    <rPh sb="0" eb="2">
      <t>キキ</t>
    </rPh>
    <rPh sb="2" eb="4">
      <t>メイショウ</t>
    </rPh>
    <phoneticPr fontId="4"/>
  </si>
  <si>
    <t>系統記号</t>
    <rPh sb="0" eb="2">
      <t>ケイトウ</t>
    </rPh>
    <rPh sb="2" eb="4">
      <t>キゴウ</t>
    </rPh>
    <phoneticPr fontId="4"/>
  </si>
  <si>
    <t>（様式11－５）</t>
    <rPh sb="1" eb="3">
      <t>ヨウシキ</t>
    </rPh>
    <phoneticPr fontId="4"/>
  </si>
  <si>
    <t>ガスを使用する場合は、都市ガスまたはLPG種別を選択してください⇒</t>
    <rPh sb="3" eb="5">
      <t>シヨウ</t>
    </rPh>
    <rPh sb="7" eb="9">
      <t>バアイ</t>
    </rPh>
    <rPh sb="11" eb="13">
      <t>トシ</t>
    </rPh>
    <rPh sb="21" eb="23">
      <t>シュベツ</t>
    </rPh>
    <rPh sb="24" eb="26">
      <t>センタク</t>
    </rPh>
    <phoneticPr fontId="4"/>
  </si>
  <si>
    <t>学校別　空調機器表</t>
    <rPh sb="0" eb="2">
      <t>ガッコウ</t>
    </rPh>
    <rPh sb="2" eb="3">
      <t>ベツ</t>
    </rPh>
    <rPh sb="4" eb="6">
      <t>クウチョウ</t>
    </rPh>
    <rPh sb="6" eb="8">
      <t>キキ</t>
    </rPh>
    <rPh sb="8" eb="9">
      <t>ヒョウ</t>
    </rPh>
    <phoneticPr fontId="4"/>
  </si>
  <si>
    <t>t-CO2/年</t>
    <rPh sb="6" eb="7">
      <t>ネン</t>
    </rPh>
    <phoneticPr fontId="4"/>
  </si>
  <si>
    <t>㎥/年</t>
    <rPh sb="2" eb="3">
      <t>ネン</t>
    </rPh>
    <phoneticPr fontId="4"/>
  </si>
  <si>
    <t>小計</t>
    <rPh sb="0" eb="2">
      <t>ショウケイ</t>
    </rPh>
    <phoneticPr fontId="4"/>
  </si>
  <si>
    <t>kg-CO2/㎥</t>
    <phoneticPr fontId="4"/>
  </si>
  <si>
    <t>㎥</t>
    <phoneticPr fontId="4"/>
  </si>
  <si>
    <t>従量料金</t>
    <rPh sb="0" eb="2">
      <t>ジュウリョウ</t>
    </rPh>
    <rPh sb="2" eb="4">
      <t>リョウキン</t>
    </rPh>
    <phoneticPr fontId="4"/>
  </si>
  <si>
    <t>円/㎥N×</t>
    <rPh sb="0" eb="1">
      <t>エン</t>
    </rPh>
    <phoneticPr fontId="4"/>
  </si>
  <si>
    <t>冬期</t>
    <rPh sb="0" eb="2">
      <t>トウキ</t>
    </rPh>
    <phoneticPr fontId="4"/>
  </si>
  <si>
    <t>その他季</t>
    <rPh sb="2" eb="3">
      <t>タ</t>
    </rPh>
    <rPh sb="3" eb="4">
      <t>キ</t>
    </rPh>
    <phoneticPr fontId="4"/>
  </si>
  <si>
    <t>ヶ月</t>
    <rPh sb="1" eb="2">
      <t>ゲツ</t>
    </rPh>
    <phoneticPr fontId="4"/>
  </si>
  <si>
    <t>ＬＰＧ</t>
    <phoneticPr fontId="4"/>
  </si>
  <si>
    <t>円/月×</t>
    <rPh sb="0" eb="1">
      <t>エン</t>
    </rPh>
    <rPh sb="2" eb="3">
      <t>ツキ</t>
    </rPh>
    <phoneticPr fontId="4"/>
  </si>
  <si>
    <t>基本料金</t>
    <rPh sb="0" eb="2">
      <t>キホン</t>
    </rPh>
    <rPh sb="2" eb="4">
      <t>リョウキン</t>
    </rPh>
    <phoneticPr fontId="4"/>
  </si>
  <si>
    <t>都市ガス
（13A）</t>
    <rPh sb="0" eb="2">
      <t>トシ</t>
    </rPh>
    <phoneticPr fontId="4"/>
  </si>
  <si>
    <t>ガス料金</t>
    <rPh sb="2" eb="4">
      <t>リョウキン</t>
    </rPh>
    <phoneticPr fontId="4"/>
  </si>
  <si>
    <t>kWh/年</t>
    <rPh sb="4" eb="5">
      <t>ネン</t>
    </rPh>
    <phoneticPr fontId="4"/>
  </si>
  <si>
    <t>再エネ発電促進賦課金</t>
    <rPh sb="0" eb="1">
      <t>サイ</t>
    </rPh>
    <rPh sb="3" eb="5">
      <t>ハツデン</t>
    </rPh>
    <rPh sb="5" eb="7">
      <t>ソクシン</t>
    </rPh>
    <rPh sb="7" eb="10">
      <t>フカキン</t>
    </rPh>
    <phoneticPr fontId="4"/>
  </si>
  <si>
    <t>燃料費調整単価</t>
    <rPh sb="0" eb="2">
      <t>ネンリョウ</t>
    </rPh>
    <rPh sb="3" eb="5">
      <t>チョウセイ</t>
    </rPh>
    <rPh sb="5" eb="7">
      <t>タンカ</t>
    </rPh>
    <phoneticPr fontId="4"/>
  </si>
  <si>
    <t>電力用料金</t>
    <rPh sb="0" eb="3">
      <t>デンリョクヨウ</t>
    </rPh>
    <rPh sb="3" eb="5">
      <t>リョウキン</t>
    </rPh>
    <phoneticPr fontId="4"/>
  </si>
  <si>
    <t>円/kWh（昼間）×</t>
    <rPh sb="0" eb="1">
      <t>エン</t>
    </rPh>
    <rPh sb="6" eb="8">
      <t>チュウカン</t>
    </rPh>
    <phoneticPr fontId="4"/>
  </si>
  <si>
    <t>＋</t>
    <phoneticPr fontId="9"/>
  </si>
  <si>
    <t>kWh</t>
    <phoneticPr fontId="4"/>
  </si>
  <si>
    <t>）</t>
    <phoneticPr fontId="9"/>
  </si>
  <si>
    <t>暖房期間</t>
    <rPh sb="0" eb="2">
      <t>ダンボウ</t>
    </rPh>
    <rPh sb="2" eb="4">
      <t>キカン</t>
    </rPh>
    <phoneticPr fontId="4"/>
  </si>
  <si>
    <t>夏季</t>
    <rPh sb="0" eb="2">
      <t>カキ</t>
    </rPh>
    <phoneticPr fontId="4"/>
  </si>
  <si>
    <t>冷房期間</t>
    <rPh sb="0" eb="2">
      <t>レイボウ</t>
    </rPh>
    <rPh sb="2" eb="4">
      <t>キカン</t>
    </rPh>
    <phoneticPr fontId="4"/>
  </si>
  <si>
    <t>（力率割引）</t>
    <rPh sb="1" eb="2">
      <t>リキ</t>
    </rPh>
    <rPh sb="2" eb="3">
      <t>リツ</t>
    </rPh>
    <rPh sb="3" eb="5">
      <t>ワリビキ</t>
    </rPh>
    <phoneticPr fontId="4"/>
  </si>
  <si>
    <t>ヶ月×</t>
    <rPh sb="1" eb="2">
      <t>ゲツ</t>
    </rPh>
    <phoneticPr fontId="4"/>
  </si>
  <si>
    <t>kW×</t>
    <phoneticPr fontId="4"/>
  </si>
  <si>
    <t>円/kW･月×</t>
    <rPh sb="0" eb="1">
      <t>エン</t>
    </rPh>
    <rPh sb="5" eb="6">
      <t>ツキ</t>
    </rPh>
    <phoneticPr fontId="4"/>
  </si>
  <si>
    <t>kg-CO2/kWh</t>
    <phoneticPr fontId="4"/>
  </si>
  <si>
    <t>高圧電力AS</t>
    <rPh sb="0" eb="2">
      <t>コウアツ</t>
    </rPh>
    <rPh sb="2" eb="4">
      <t>デンリョク</t>
    </rPh>
    <phoneticPr fontId="4"/>
  </si>
  <si>
    <t>電力料金</t>
    <rPh sb="0" eb="2">
      <t>デンリョク</t>
    </rPh>
    <rPh sb="2" eb="4">
      <t>リョウキン</t>
    </rPh>
    <phoneticPr fontId="4"/>
  </si>
  <si>
    <t>CO2排出量</t>
    <rPh sb="3" eb="5">
      <t>ハイシュツ</t>
    </rPh>
    <rPh sb="5" eb="6">
      <t>リョウ</t>
    </rPh>
    <phoneticPr fontId="4"/>
  </si>
  <si>
    <t>CO2排出係数</t>
    <rPh sb="3" eb="5">
      <t>ハイシュツ</t>
    </rPh>
    <rPh sb="5" eb="7">
      <t>ケイスウ</t>
    </rPh>
    <phoneticPr fontId="4"/>
  </si>
  <si>
    <t>金額（円/年）</t>
    <rPh sb="0" eb="2">
      <t>キンガク</t>
    </rPh>
    <rPh sb="3" eb="4">
      <t>エン</t>
    </rPh>
    <rPh sb="5" eb="6">
      <t>ネン</t>
    </rPh>
    <phoneticPr fontId="4"/>
  </si>
  <si>
    <t>算出根拠</t>
    <rPh sb="0" eb="2">
      <t>サンシュツ</t>
    </rPh>
    <rPh sb="2" eb="4">
      <t>コンキョ</t>
    </rPh>
    <phoneticPr fontId="4"/>
  </si>
  <si>
    <t>区分</t>
    <rPh sb="0" eb="2">
      <t>クブン</t>
    </rPh>
    <phoneticPr fontId="4"/>
  </si>
  <si>
    <t>費目</t>
    <rPh sb="0" eb="2">
      <t>ヒモク</t>
    </rPh>
    <phoneticPr fontId="4"/>
  </si>
  <si>
    <t>年間CO2排出量の算定（参考）</t>
    <rPh sb="0" eb="2">
      <t>ネンカン</t>
    </rPh>
    <rPh sb="5" eb="7">
      <t>ハイシュツ</t>
    </rPh>
    <rPh sb="7" eb="8">
      <t>リョウ</t>
    </rPh>
    <rPh sb="9" eb="11">
      <t>サンテイ</t>
    </rPh>
    <rPh sb="12" eb="14">
      <t>サンコウ</t>
    </rPh>
    <phoneticPr fontId="4"/>
  </si>
  <si>
    <t>－</t>
  </si>
  <si>
    <t>ガス消費量（㎥）</t>
    <rPh sb="2" eb="4">
      <t>ショウヒ</t>
    </rPh>
    <rPh sb="4" eb="5">
      <t>リョウ</t>
    </rPh>
    <phoneticPr fontId="4"/>
  </si>
  <si>
    <t>その他消費電力量（kWh）</t>
    <rPh sb="2" eb="3">
      <t>タ</t>
    </rPh>
    <rPh sb="3" eb="5">
      <t>ショウヒ</t>
    </rPh>
    <rPh sb="5" eb="7">
      <t>デンリョク</t>
    </rPh>
    <rPh sb="7" eb="8">
      <t>リョウ</t>
    </rPh>
    <phoneticPr fontId="4"/>
  </si>
  <si>
    <t>室内機消費電力量（kWh）</t>
    <rPh sb="0" eb="3">
      <t>シツナイキ</t>
    </rPh>
    <rPh sb="3" eb="5">
      <t>ショウヒ</t>
    </rPh>
    <rPh sb="5" eb="7">
      <t>デンリョク</t>
    </rPh>
    <rPh sb="7" eb="8">
      <t>リョウ</t>
    </rPh>
    <phoneticPr fontId="4"/>
  </si>
  <si>
    <t>室外機消費電力量（kWh）</t>
    <rPh sb="0" eb="3">
      <t>シツガイキ</t>
    </rPh>
    <rPh sb="3" eb="5">
      <t>ショウヒ</t>
    </rPh>
    <rPh sb="5" eb="7">
      <t>デンリョク</t>
    </rPh>
    <rPh sb="7" eb="8">
      <t>リョウ</t>
    </rPh>
    <phoneticPr fontId="4"/>
  </si>
  <si>
    <t>月別待機時間（h）</t>
    <rPh sb="0" eb="2">
      <t>ツキベツ</t>
    </rPh>
    <rPh sb="2" eb="4">
      <t>タイキ</t>
    </rPh>
    <rPh sb="4" eb="6">
      <t>ジカン</t>
    </rPh>
    <phoneticPr fontId="4"/>
  </si>
  <si>
    <t>全負荷相当運転時間（h）</t>
    <rPh sb="0" eb="1">
      <t>ゼン</t>
    </rPh>
    <rPh sb="1" eb="3">
      <t>フカ</t>
    </rPh>
    <rPh sb="3" eb="5">
      <t>ソウトウ</t>
    </rPh>
    <rPh sb="5" eb="7">
      <t>ウンテン</t>
    </rPh>
    <rPh sb="7" eb="9">
      <t>ジカン</t>
    </rPh>
    <phoneticPr fontId="4"/>
  </si>
  <si>
    <t>月別負荷率（％）</t>
    <rPh sb="0" eb="2">
      <t>ツキベツ</t>
    </rPh>
    <rPh sb="2" eb="4">
      <t>フカ</t>
    </rPh>
    <rPh sb="4" eb="5">
      <t>リツ</t>
    </rPh>
    <phoneticPr fontId="4"/>
  </si>
  <si>
    <t>運転時間（ｈ/日）</t>
    <rPh sb="7" eb="8">
      <t>ニチ</t>
    </rPh>
    <phoneticPr fontId="9"/>
  </si>
  <si>
    <t>運転日数（日/月）</t>
    <rPh sb="5" eb="6">
      <t>ニチ</t>
    </rPh>
    <rPh sb="7" eb="8">
      <t>ゲツ</t>
    </rPh>
    <phoneticPr fontId="9"/>
  </si>
  <si>
    <t>空調機運転時間（ｈ）</t>
    <rPh sb="0" eb="2">
      <t>クウチョウ</t>
    </rPh>
    <rPh sb="2" eb="3">
      <t>キ</t>
    </rPh>
    <rPh sb="3" eb="5">
      <t>ウンテン</t>
    </rPh>
    <rPh sb="5" eb="7">
      <t>ジカン</t>
    </rPh>
    <phoneticPr fontId="9"/>
  </si>
  <si>
    <t>5月</t>
  </si>
  <si>
    <t>4月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</si>
  <si>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</si>
  <si>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</si>
  <si>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</si>
  <si>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</si>
  <si>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</si>
  <si>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</si>
  <si>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</si>
  <si>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</si>
  <si>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  <rPh sb="1" eb="2">
      <t>ガツ</t>
    </rPh>
    <phoneticPr fontId="4"/>
  </si>
  <si>
    <t>6月</t>
    <rPh sb="1" eb="2">
      <t>ガツ</t>
    </rPh>
    <phoneticPr fontId="4"/>
  </si>
  <si>
    <t>冷房期間</t>
    <rPh sb="0" eb="2">
      <t>レイボウ</t>
    </rPh>
    <rPh sb="2" eb="3">
      <t>キ</t>
    </rPh>
    <rPh sb="3" eb="4">
      <t>カン</t>
    </rPh>
    <phoneticPr fontId="4"/>
  </si>
  <si>
    <t>月別エネルギー消費量の算定</t>
    <rPh sb="0" eb="2">
      <t>ツキベツ</t>
    </rPh>
    <rPh sb="7" eb="10">
      <t>ショウヒリョウ</t>
    </rPh>
    <rPh sb="11" eb="13">
      <t>サンテイ</t>
    </rPh>
    <phoneticPr fontId="4"/>
  </si>
  <si>
    <t>学校別　光熱水費算定表</t>
    <rPh sb="0" eb="2">
      <t>ガッコウ</t>
    </rPh>
    <rPh sb="2" eb="3">
      <t>ベツ</t>
    </rPh>
    <rPh sb="4" eb="8">
      <t>コウネツミズヒ</t>
    </rPh>
    <rPh sb="8" eb="10">
      <t>サンテイ</t>
    </rPh>
    <rPh sb="10" eb="11">
      <t>ヒョウ</t>
    </rPh>
    <phoneticPr fontId="4"/>
  </si>
  <si>
    <t>11月</t>
    <rPh sb="2" eb="3">
      <t>ガツ</t>
    </rPh>
    <phoneticPr fontId="4"/>
  </si>
  <si>
    <t>5月</t>
    <rPh sb="1" eb="2">
      <t>ガツ</t>
    </rPh>
    <phoneticPr fontId="4"/>
  </si>
  <si>
    <t>＋</t>
    <phoneticPr fontId="4"/>
  </si>
  <si>
    <t>(</t>
    <phoneticPr fontId="4"/>
  </si>
  <si>
    <t>)</t>
    <phoneticPr fontId="4"/>
  </si>
  <si>
    <t>×</t>
    <phoneticPr fontId="4"/>
  </si>
  <si>
    <t>51～100</t>
    <phoneticPr fontId="4"/>
  </si>
  <si>
    <t>都市ガス</t>
    <rPh sb="0" eb="2">
      <t>トシ</t>
    </rPh>
    <phoneticPr fontId="4"/>
  </si>
  <si>
    <t>LPG</t>
    <phoneticPr fontId="4"/>
  </si>
  <si>
    <t>熱量換算</t>
    <rPh sb="0" eb="2">
      <t>ネツリョウ</t>
    </rPh>
    <rPh sb="2" eb="4">
      <t>カンザン</t>
    </rPh>
    <phoneticPr fontId="4"/>
  </si>
  <si>
    <t>原油換算</t>
    <rPh sb="0" eb="2">
      <t>ゲンユ</t>
    </rPh>
    <rPh sb="2" eb="4">
      <t>カンザン</t>
    </rPh>
    <phoneticPr fontId="4"/>
  </si>
  <si>
    <t>L</t>
    <phoneticPr fontId="4"/>
  </si>
  <si>
    <t>冬季</t>
    <rPh sb="0" eb="2">
      <t>トウキ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</si>
  <si>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</si>
  <si>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</si>
  <si>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</si>
  <si>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2月</t>
    <rPh sb="1" eb="2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</si>
  <si>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</si>
  <si>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</si>
  <si>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</si>
  <si>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</si>
  <si>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月間水光熱費の算定</t>
    <rPh sb="0" eb="2">
      <t>ゲッカン</t>
    </rPh>
    <rPh sb="2" eb="3">
      <t>スイ</t>
    </rPh>
    <rPh sb="3" eb="6">
      <t>コウネツヒ</t>
    </rPh>
    <rPh sb="7" eb="9">
      <t>サンテイ</t>
    </rPh>
    <phoneticPr fontId="4"/>
  </si>
  <si>
    <t>ガス</t>
    <phoneticPr fontId="4"/>
  </si>
  <si>
    <t>（kW）</t>
    <phoneticPr fontId="4"/>
  </si>
  <si>
    <t>（Φ）</t>
    <phoneticPr fontId="4"/>
  </si>
  <si>
    <t>（V）</t>
    <phoneticPr fontId="4"/>
  </si>
  <si>
    <t>（kW）</t>
    <phoneticPr fontId="4"/>
  </si>
  <si>
    <t>（㎥）</t>
    <phoneticPr fontId="4"/>
  </si>
  <si>
    <t>（㎥）</t>
    <phoneticPr fontId="4"/>
  </si>
  <si>
    <t>室外機
室用途別
按分値</t>
    <rPh sb="0" eb="3">
      <t>シツガイキ</t>
    </rPh>
    <rPh sb="4" eb="5">
      <t>シツ</t>
    </rPh>
    <rPh sb="5" eb="7">
      <t>ヨウト</t>
    </rPh>
    <rPh sb="7" eb="8">
      <t>ベツ</t>
    </rPh>
    <rPh sb="9" eb="11">
      <t>アンブン</t>
    </rPh>
    <rPh sb="11" eb="12">
      <t>アタイ</t>
    </rPh>
    <phoneticPr fontId="4"/>
  </si>
  <si>
    <t>A1-1</t>
  </si>
  <si>
    <t>A1-2</t>
  </si>
  <si>
    <t>職員室</t>
  </si>
  <si>
    <t>A1-3</t>
  </si>
  <si>
    <t>室内機
室用途別
按分値</t>
    <rPh sb="0" eb="3">
      <t>シツナイキ</t>
    </rPh>
    <rPh sb="4" eb="5">
      <t>シツ</t>
    </rPh>
    <rPh sb="5" eb="7">
      <t>ヨウト</t>
    </rPh>
    <rPh sb="7" eb="8">
      <t>ベツ</t>
    </rPh>
    <rPh sb="9" eb="11">
      <t>アンブン</t>
    </rPh>
    <rPh sb="11" eb="12">
      <t>アタイ</t>
    </rPh>
    <phoneticPr fontId="4"/>
  </si>
  <si>
    <t>学校名称</t>
    <rPh sb="0" eb="2">
      <t>ガッコウ</t>
    </rPh>
    <rPh sb="2" eb="4">
      <t>メイショウ</t>
    </rPh>
    <phoneticPr fontId="4"/>
  </si>
  <si>
    <t>対象室</t>
    <rPh sb="0" eb="2">
      <t>タイショウ</t>
    </rPh>
    <rPh sb="2" eb="3">
      <t>シツ</t>
    </rPh>
    <phoneticPr fontId="4"/>
  </si>
  <si>
    <t>要求水準書記載の室用途</t>
    <rPh sb="0" eb="2">
      <t>ヨウキュウ</t>
    </rPh>
    <rPh sb="2" eb="4">
      <t>スイジュン</t>
    </rPh>
    <rPh sb="4" eb="5">
      <t>ショ</t>
    </rPh>
    <rPh sb="5" eb="7">
      <t>キサイ</t>
    </rPh>
    <rPh sb="8" eb="9">
      <t>シツ</t>
    </rPh>
    <rPh sb="9" eb="11">
      <t>ヨウト</t>
    </rPh>
    <phoneticPr fontId="4"/>
  </si>
  <si>
    <t>集計対象室用途</t>
    <rPh sb="0" eb="2">
      <t>シュウケイ</t>
    </rPh>
    <rPh sb="2" eb="4">
      <t>タイショウ</t>
    </rPh>
    <rPh sb="4" eb="5">
      <t>シツ</t>
    </rPh>
    <rPh sb="5" eb="7">
      <t>ヨウト</t>
    </rPh>
    <phoneticPr fontId="4"/>
  </si>
  <si>
    <t>（様式11－６）</t>
    <phoneticPr fontId="4"/>
  </si>
  <si>
    <t>（室用途別集計表）</t>
    <rPh sb="1" eb="2">
      <t>シツ</t>
    </rPh>
    <rPh sb="2" eb="4">
      <t>ヨウト</t>
    </rPh>
    <rPh sb="4" eb="5">
      <t>ベツ</t>
    </rPh>
    <rPh sb="5" eb="7">
      <t>シュウケイ</t>
    </rPh>
    <rPh sb="7" eb="8">
      <t>ヒョウ</t>
    </rPh>
    <phoneticPr fontId="4"/>
  </si>
  <si>
    <t>中間期</t>
    <rPh sb="0" eb="3">
      <t>チュウカンキ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</si>
  <si>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</si>
  <si>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</si>
  <si>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</si>
  <si>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</si>
  <si>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</si>
  <si>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kW×</t>
    <phoneticPr fontId="4"/>
  </si>
  <si>
    <t>kg-CO2/kWh</t>
    <phoneticPr fontId="4"/>
  </si>
  <si>
    <t>（</t>
    <phoneticPr fontId="9"/>
  </si>
  <si>
    <t>＋</t>
    <phoneticPr fontId="9"/>
  </si>
  <si>
    <t>）</t>
    <phoneticPr fontId="9"/>
  </si>
  <si>
    <t>kWh</t>
    <phoneticPr fontId="4"/>
  </si>
  <si>
    <t>(</t>
    <phoneticPr fontId="4"/>
  </si>
  <si>
    <t>kg-CO2/㎥</t>
    <phoneticPr fontId="4"/>
  </si>
  <si>
    <t>(</t>
    <phoneticPr fontId="4"/>
  </si>
  <si>
    <t>＋</t>
    <phoneticPr fontId="4"/>
  </si>
  <si>
    <t>)</t>
    <phoneticPr fontId="4"/>
  </si>
  <si>
    <t>×</t>
    <phoneticPr fontId="4"/>
  </si>
  <si>
    <t>㎥</t>
    <phoneticPr fontId="4"/>
  </si>
  <si>
    <t>ＬＰＧ</t>
    <phoneticPr fontId="4"/>
  </si>
  <si>
    <t>kg-CO2/㎥</t>
    <phoneticPr fontId="4"/>
  </si>
  <si>
    <t>㎥</t>
    <phoneticPr fontId="4"/>
  </si>
  <si>
    <t>kW×</t>
    <phoneticPr fontId="4"/>
  </si>
  <si>
    <t>）</t>
    <phoneticPr fontId="9"/>
  </si>
  <si>
    <t>＋</t>
    <phoneticPr fontId="4"/>
  </si>
  <si>
    <t>)</t>
    <phoneticPr fontId="4"/>
  </si>
  <si>
    <t>×</t>
    <phoneticPr fontId="4"/>
  </si>
  <si>
    <t>㎥</t>
    <phoneticPr fontId="4"/>
  </si>
  <si>
    <t>ＬＰＧ</t>
    <phoneticPr fontId="4"/>
  </si>
  <si>
    <t>ＬＰＧ</t>
    <phoneticPr fontId="4"/>
  </si>
  <si>
    <t>kg-CO2/㎥</t>
    <phoneticPr fontId="4"/>
  </si>
  <si>
    <t>kW×</t>
    <phoneticPr fontId="4"/>
  </si>
  <si>
    <t>kg-CO2/kWh</t>
    <phoneticPr fontId="4"/>
  </si>
  <si>
    <t>（</t>
    <phoneticPr fontId="9"/>
  </si>
  <si>
    <t>＋</t>
    <phoneticPr fontId="9"/>
  </si>
  <si>
    <t>＋</t>
    <phoneticPr fontId="9"/>
  </si>
  <si>
    <t>kWh</t>
    <phoneticPr fontId="4"/>
  </si>
  <si>
    <t>(</t>
    <phoneticPr fontId="4"/>
  </si>
  <si>
    <t>)</t>
    <phoneticPr fontId="4"/>
  </si>
  <si>
    <t>ＬＰＧ</t>
    <phoneticPr fontId="4"/>
  </si>
  <si>
    <t>kg-CO2/㎥</t>
    <phoneticPr fontId="4"/>
  </si>
  <si>
    <t>）</t>
    <phoneticPr fontId="9"/>
  </si>
  <si>
    <t>kWh</t>
    <phoneticPr fontId="4"/>
  </si>
  <si>
    <t>kg-CO2/㎥</t>
    <phoneticPr fontId="4"/>
  </si>
  <si>
    <t>＋</t>
    <phoneticPr fontId="4"/>
  </si>
  <si>
    <t>×</t>
    <phoneticPr fontId="4"/>
  </si>
  <si>
    <t>㎥</t>
    <phoneticPr fontId="4"/>
  </si>
  <si>
    <t>ＬＰＧ</t>
    <phoneticPr fontId="4"/>
  </si>
  <si>
    <t>その他季</t>
    <phoneticPr fontId="4"/>
  </si>
  <si>
    <t>（</t>
    <phoneticPr fontId="9"/>
  </si>
  <si>
    <t>＋</t>
    <phoneticPr fontId="9"/>
  </si>
  <si>
    <t>kWh</t>
    <phoneticPr fontId="4"/>
  </si>
  <si>
    <t>×</t>
    <phoneticPr fontId="4"/>
  </si>
  <si>
    <t>kg-CO2/kWh</t>
    <phoneticPr fontId="4"/>
  </si>
  <si>
    <t>暖房期間</t>
    <phoneticPr fontId="4"/>
  </si>
  <si>
    <t>その他季</t>
    <phoneticPr fontId="4"/>
  </si>
  <si>
    <t>暖房期間</t>
    <phoneticPr fontId="4"/>
  </si>
  <si>
    <t>(</t>
    <phoneticPr fontId="4"/>
  </si>
  <si>
    <t>)</t>
    <phoneticPr fontId="4"/>
  </si>
  <si>
    <t>×</t>
    <phoneticPr fontId="4"/>
  </si>
  <si>
    <t>㎥</t>
    <phoneticPr fontId="4"/>
  </si>
  <si>
    <t>その他季</t>
    <phoneticPr fontId="4"/>
  </si>
  <si>
    <t>kWh</t>
    <phoneticPr fontId="4"/>
  </si>
  <si>
    <t>暖房期間</t>
    <phoneticPr fontId="4"/>
  </si>
  <si>
    <t>その他季</t>
    <phoneticPr fontId="4"/>
  </si>
  <si>
    <t>）</t>
    <phoneticPr fontId="9"/>
  </si>
  <si>
    <t>（</t>
    <phoneticPr fontId="9"/>
  </si>
  <si>
    <t>＋</t>
    <phoneticPr fontId="4"/>
  </si>
  <si>
    <t>年間水光熱費の算定</t>
    <phoneticPr fontId="4"/>
  </si>
  <si>
    <t>合計（参考値）</t>
    <rPh sb="0" eb="2">
      <t>ゴウケイ</t>
    </rPh>
    <rPh sb="3" eb="5">
      <t>サンコウ</t>
    </rPh>
    <rPh sb="5" eb="6">
      <t>チ</t>
    </rPh>
    <phoneticPr fontId="4"/>
  </si>
  <si>
    <t>※1 このシートは、様式11-5とリンクしています。学校毎に様式11-5と様式11-6を必ずセットで利用してください。</t>
    <rPh sb="10" eb="12">
      <t>ヨウシキ</t>
    </rPh>
    <rPh sb="26" eb="28">
      <t>ガッコウ</t>
    </rPh>
    <rPh sb="28" eb="29">
      <t>ゴト</t>
    </rPh>
    <rPh sb="30" eb="32">
      <t>ヨウシキ</t>
    </rPh>
    <rPh sb="37" eb="39">
      <t>ヨウシキ</t>
    </rPh>
    <rPh sb="44" eb="45">
      <t>カナラ</t>
    </rPh>
    <rPh sb="50" eb="52">
      <t>リヨウ</t>
    </rPh>
    <phoneticPr fontId="4"/>
  </si>
  <si>
    <t>MJ</t>
    <phoneticPr fontId="4"/>
  </si>
  <si>
    <t>L</t>
    <phoneticPr fontId="4"/>
  </si>
  <si>
    <t xml:space="preserve">※2 光熱水費並びにCO2排出量算出にあたり、ピーク時最大負荷、空調機運転時間、月別負荷率、月別負荷、月別待機時間、料金単価、CO2排出係数は変更出来ません。 </t>
    <rPh sb="5" eb="6">
      <t>スイ</t>
    </rPh>
    <rPh sb="42" eb="44">
      <t>フカ</t>
    </rPh>
    <phoneticPr fontId="4"/>
  </si>
  <si>
    <t>LPG</t>
    <phoneticPr fontId="4"/>
  </si>
  <si>
    <t>L</t>
    <phoneticPr fontId="4"/>
  </si>
  <si>
    <t>kW×</t>
    <phoneticPr fontId="4"/>
  </si>
  <si>
    <t>(</t>
    <phoneticPr fontId="4"/>
  </si>
  <si>
    <t>＋</t>
    <phoneticPr fontId="4"/>
  </si>
  <si>
    <t>＋</t>
    <phoneticPr fontId="9"/>
  </si>
  <si>
    <t>）</t>
    <phoneticPr fontId="9"/>
  </si>
  <si>
    <t>kg-CO2/kWh</t>
    <phoneticPr fontId="4"/>
  </si>
  <si>
    <t>)</t>
    <phoneticPr fontId="4"/>
  </si>
  <si>
    <t>MJ</t>
    <phoneticPr fontId="4"/>
  </si>
  <si>
    <t>L</t>
    <phoneticPr fontId="4"/>
  </si>
  <si>
    <t>MJ</t>
    <phoneticPr fontId="4"/>
  </si>
  <si>
    <t>－</t>
    <phoneticPr fontId="4"/>
  </si>
  <si>
    <t>中部電力</t>
    <rPh sb="0" eb="2">
      <t>チュウブ</t>
    </rPh>
    <rPh sb="2" eb="4">
      <t>デンリョク</t>
    </rPh>
    <phoneticPr fontId="4"/>
  </si>
  <si>
    <t>その他期</t>
    <rPh sb="2" eb="3">
      <t>タ</t>
    </rPh>
    <rPh sb="3" eb="4">
      <t>キ</t>
    </rPh>
    <phoneticPr fontId="4"/>
  </si>
  <si>
    <t>東邦ガス</t>
    <rPh sb="0" eb="2">
      <t>トウホウ</t>
    </rPh>
    <phoneticPr fontId="4"/>
  </si>
  <si>
    <t>使用量</t>
    <rPh sb="0" eb="3">
      <t>シヨウリョウ</t>
    </rPh>
    <phoneticPr fontId="4"/>
  </si>
  <si>
    <t>0～50</t>
    <phoneticPr fontId="4"/>
  </si>
  <si>
    <t>101～250</t>
    <phoneticPr fontId="4"/>
  </si>
  <si>
    <t>251～500</t>
    <phoneticPr fontId="4"/>
  </si>
  <si>
    <t>501～800</t>
    <phoneticPr fontId="4"/>
  </si>
  <si>
    <t>801～</t>
    <phoneticPr fontId="4"/>
  </si>
  <si>
    <t>四日市市通知単価</t>
    <rPh sb="0" eb="4">
      <t>ヨッカイチシ</t>
    </rPh>
    <rPh sb="4" eb="6">
      <t>ツウチ</t>
    </rPh>
    <rPh sb="6" eb="8">
      <t>タンカ</t>
    </rPh>
    <phoneticPr fontId="4"/>
  </si>
  <si>
    <t>単価</t>
    <rPh sb="0" eb="2">
      <t>タンカ</t>
    </rPh>
    <phoneticPr fontId="4"/>
  </si>
  <si>
    <t>大型Ｍ</t>
    <rPh sb="0" eb="2">
      <t>オオガタ</t>
    </rPh>
    <phoneticPr fontId="4"/>
  </si>
  <si>
    <t>加算</t>
    <rPh sb="0" eb="2">
      <t>カサン</t>
    </rPh>
    <phoneticPr fontId="4"/>
  </si>
  <si>
    <t>←2.5号を超えるもの</t>
    <rPh sb="4" eb="5">
      <t>ゴウ</t>
    </rPh>
    <rPh sb="6" eb="7">
      <t>コ</t>
    </rPh>
    <phoneticPr fontId="4"/>
  </si>
  <si>
    <t>学校名称</t>
    <rPh sb="0" eb="2">
      <t>ガッコウ</t>
    </rPh>
    <rPh sb="2" eb="4">
      <t>メイショウ</t>
    </rPh>
    <phoneticPr fontId="28"/>
  </si>
  <si>
    <t>階数</t>
    <rPh sb="0" eb="2">
      <t>カイスウ</t>
    </rPh>
    <phoneticPr fontId="28"/>
  </si>
  <si>
    <t>室名称</t>
    <rPh sb="0" eb="1">
      <t>シツ</t>
    </rPh>
    <rPh sb="1" eb="3">
      <t>メイショウ</t>
    </rPh>
    <phoneticPr fontId="28"/>
  </si>
  <si>
    <t>中部西小学校</t>
    <rPh sb="0" eb="2">
      <t>チュウブ</t>
    </rPh>
    <rPh sb="2" eb="3">
      <t>ニシ</t>
    </rPh>
    <rPh sb="3" eb="6">
      <t>ショウガッコウ</t>
    </rPh>
    <phoneticPr fontId="28"/>
  </si>
  <si>
    <t>浜田小学校</t>
    <rPh sb="0" eb="2">
      <t>ハマダ</t>
    </rPh>
    <rPh sb="2" eb="5">
      <t>ショウガッコウ</t>
    </rPh>
    <phoneticPr fontId="28"/>
  </si>
  <si>
    <t>橋北小学校</t>
    <rPh sb="0" eb="1">
      <t>ハシ</t>
    </rPh>
    <rPh sb="1" eb="2">
      <t>キタ</t>
    </rPh>
    <rPh sb="2" eb="5">
      <t>ショウガッコウ</t>
    </rPh>
    <phoneticPr fontId="28"/>
  </si>
  <si>
    <t>海蔵小学校</t>
    <rPh sb="0" eb="2">
      <t>カイゾウ</t>
    </rPh>
    <rPh sb="2" eb="5">
      <t>ショウガッコウ</t>
    </rPh>
    <phoneticPr fontId="28"/>
  </si>
  <si>
    <t>塩浜小学校</t>
    <rPh sb="0" eb="2">
      <t>シオハマ</t>
    </rPh>
    <rPh sb="2" eb="5">
      <t>ショウガッコウ</t>
    </rPh>
    <phoneticPr fontId="28"/>
  </si>
  <si>
    <t>富洲原小学校</t>
    <rPh sb="0" eb="3">
      <t>トミスハラ</t>
    </rPh>
    <rPh sb="3" eb="6">
      <t>ショウガッコウ</t>
    </rPh>
    <phoneticPr fontId="28"/>
  </si>
  <si>
    <t>羽津小学校</t>
    <rPh sb="0" eb="1">
      <t>ハ</t>
    </rPh>
    <rPh sb="1" eb="2">
      <t>ツ</t>
    </rPh>
    <rPh sb="2" eb="5">
      <t>ショウガッコウ</t>
    </rPh>
    <phoneticPr fontId="28"/>
  </si>
  <si>
    <t>常磐小学校</t>
    <rPh sb="0" eb="2">
      <t>トキワ</t>
    </rPh>
    <rPh sb="2" eb="5">
      <t>ショウガッコウ</t>
    </rPh>
    <phoneticPr fontId="28"/>
  </si>
  <si>
    <t>日永小学校</t>
    <rPh sb="0" eb="2">
      <t>ヒナガ</t>
    </rPh>
    <rPh sb="2" eb="5">
      <t>ショウガッコウ</t>
    </rPh>
    <phoneticPr fontId="28"/>
  </si>
  <si>
    <t>四郷小学校</t>
    <rPh sb="0" eb="2">
      <t>シゴウ</t>
    </rPh>
    <rPh sb="2" eb="5">
      <t>ショウガッコウ</t>
    </rPh>
    <phoneticPr fontId="28"/>
  </si>
  <si>
    <t>内部小学校</t>
    <rPh sb="0" eb="2">
      <t>ナイブ</t>
    </rPh>
    <rPh sb="2" eb="5">
      <t>ショウガッコウ</t>
    </rPh>
    <phoneticPr fontId="28"/>
  </si>
  <si>
    <t>小山田小学校</t>
    <rPh sb="0" eb="3">
      <t>オヤマダ</t>
    </rPh>
    <rPh sb="3" eb="6">
      <t>ショウガッコウ</t>
    </rPh>
    <phoneticPr fontId="28"/>
  </si>
  <si>
    <t>河原田小学校</t>
    <rPh sb="0" eb="3">
      <t>カワハラダ</t>
    </rPh>
    <rPh sb="3" eb="6">
      <t>ショウガッコウ</t>
    </rPh>
    <phoneticPr fontId="28"/>
  </si>
  <si>
    <t>川島小学校</t>
    <rPh sb="0" eb="2">
      <t>カワシマ</t>
    </rPh>
    <rPh sb="2" eb="5">
      <t>ショウガッコウ</t>
    </rPh>
    <phoneticPr fontId="28"/>
  </si>
  <si>
    <t>神前小学校</t>
    <rPh sb="0" eb="2">
      <t>ジンゼン</t>
    </rPh>
    <rPh sb="2" eb="5">
      <t>ショウガッコウ</t>
    </rPh>
    <phoneticPr fontId="28"/>
  </si>
  <si>
    <t>桜小学校</t>
    <rPh sb="0" eb="1">
      <t>サクラ</t>
    </rPh>
    <rPh sb="1" eb="4">
      <t>ショウガッコウ</t>
    </rPh>
    <phoneticPr fontId="28"/>
  </si>
  <si>
    <t>県小学校</t>
    <rPh sb="0" eb="1">
      <t>アガタ</t>
    </rPh>
    <rPh sb="1" eb="4">
      <t>ショウガッコウ</t>
    </rPh>
    <phoneticPr fontId="28"/>
  </si>
  <si>
    <t>三重小学校</t>
    <rPh sb="0" eb="2">
      <t>ミエ</t>
    </rPh>
    <rPh sb="2" eb="5">
      <t>ショウガッコウ</t>
    </rPh>
    <phoneticPr fontId="28"/>
  </si>
  <si>
    <t>大矢知興譲小学校</t>
    <rPh sb="0" eb="3">
      <t>オオヤチ</t>
    </rPh>
    <rPh sb="3" eb="5">
      <t>コウジョウ</t>
    </rPh>
    <rPh sb="5" eb="8">
      <t>ショウガッコウ</t>
    </rPh>
    <phoneticPr fontId="28"/>
  </si>
  <si>
    <t>八郷小学校</t>
    <rPh sb="0" eb="2">
      <t>ハチゴウ</t>
    </rPh>
    <rPh sb="2" eb="5">
      <t>ショウガッコウ</t>
    </rPh>
    <phoneticPr fontId="28"/>
  </si>
  <si>
    <t>下野小学校</t>
    <rPh sb="0" eb="2">
      <t>シモノ</t>
    </rPh>
    <rPh sb="2" eb="5">
      <t>ショウガッコウ</t>
    </rPh>
    <phoneticPr fontId="28"/>
  </si>
  <si>
    <t>保々小学校</t>
    <rPh sb="0" eb="2">
      <t>ホホ</t>
    </rPh>
    <rPh sb="2" eb="5">
      <t>ショウガッコウ</t>
    </rPh>
    <phoneticPr fontId="28"/>
  </si>
  <si>
    <t>水沢小学校</t>
    <rPh sb="0" eb="2">
      <t>ミズサワ</t>
    </rPh>
    <rPh sb="2" eb="5">
      <t>ショウガッコウ</t>
    </rPh>
    <phoneticPr fontId="28"/>
  </si>
  <si>
    <t>泊山小学校</t>
    <rPh sb="0" eb="1">
      <t>ハク</t>
    </rPh>
    <rPh sb="1" eb="2">
      <t>サン</t>
    </rPh>
    <rPh sb="2" eb="5">
      <t>ショウガッコウ</t>
    </rPh>
    <phoneticPr fontId="28"/>
  </si>
  <si>
    <t>笹川小学校</t>
    <rPh sb="0" eb="2">
      <t>ササガワ</t>
    </rPh>
    <rPh sb="2" eb="5">
      <t>ショウガッコウ</t>
    </rPh>
    <phoneticPr fontId="28"/>
  </si>
  <si>
    <t>常磐西小学校</t>
    <rPh sb="0" eb="2">
      <t>トキワ</t>
    </rPh>
    <rPh sb="2" eb="3">
      <t>ニシ</t>
    </rPh>
    <rPh sb="3" eb="6">
      <t>ショウガッコウ</t>
    </rPh>
    <phoneticPr fontId="28"/>
  </si>
  <si>
    <t>三重西小学校</t>
    <rPh sb="0" eb="2">
      <t>ミエ</t>
    </rPh>
    <rPh sb="2" eb="3">
      <t>ニシ</t>
    </rPh>
    <rPh sb="3" eb="6">
      <t>ショウガッコウ</t>
    </rPh>
    <phoneticPr fontId="28"/>
  </si>
  <si>
    <t>大谷台小学校</t>
    <rPh sb="0" eb="2">
      <t>オオタニ</t>
    </rPh>
    <rPh sb="2" eb="3">
      <t>ダイ</t>
    </rPh>
    <rPh sb="3" eb="6">
      <t>ショウガッコウ</t>
    </rPh>
    <phoneticPr fontId="28"/>
  </si>
  <si>
    <t>桜台小学校</t>
    <rPh sb="0" eb="1">
      <t>サクラ</t>
    </rPh>
    <rPh sb="1" eb="2">
      <t>ダイ</t>
    </rPh>
    <rPh sb="2" eb="5">
      <t>ショウガッコウ</t>
    </rPh>
    <phoneticPr fontId="28"/>
  </si>
  <si>
    <t>三重北小学校</t>
    <rPh sb="0" eb="2">
      <t>ミエ</t>
    </rPh>
    <rPh sb="2" eb="3">
      <t>キタ</t>
    </rPh>
    <rPh sb="3" eb="6">
      <t>ショウガッコウ</t>
    </rPh>
    <phoneticPr fontId="28"/>
  </si>
  <si>
    <t>八郷西小学校</t>
    <rPh sb="0" eb="2">
      <t>ハチゴウ</t>
    </rPh>
    <rPh sb="2" eb="3">
      <t>ニシ</t>
    </rPh>
    <rPh sb="3" eb="6">
      <t>ショウガッコウ</t>
    </rPh>
    <phoneticPr fontId="28"/>
  </si>
  <si>
    <t>羽津北小学校</t>
    <rPh sb="0" eb="1">
      <t>ハ</t>
    </rPh>
    <rPh sb="1" eb="2">
      <t>ツ</t>
    </rPh>
    <rPh sb="2" eb="3">
      <t>キタ</t>
    </rPh>
    <rPh sb="3" eb="6">
      <t>ショウガッコウ</t>
    </rPh>
    <phoneticPr fontId="28"/>
  </si>
  <si>
    <t>内部東小学校</t>
    <rPh sb="0" eb="2">
      <t>ナイブ</t>
    </rPh>
    <rPh sb="2" eb="3">
      <t>ヒガシ</t>
    </rPh>
    <rPh sb="3" eb="6">
      <t>ショウガッコウ</t>
    </rPh>
    <phoneticPr fontId="28"/>
  </si>
  <si>
    <t>中央小学校</t>
    <rPh sb="0" eb="2">
      <t>チュウオウ</t>
    </rPh>
    <rPh sb="2" eb="5">
      <t>ショウガッコウ</t>
    </rPh>
    <phoneticPr fontId="28"/>
  </si>
  <si>
    <t>楠小学校</t>
    <rPh sb="0" eb="1">
      <t>クスノキ</t>
    </rPh>
    <rPh sb="1" eb="4">
      <t>ショウガッコウ</t>
    </rPh>
    <phoneticPr fontId="28"/>
  </si>
  <si>
    <t>中部中学校</t>
    <rPh sb="0" eb="2">
      <t>チュウブ</t>
    </rPh>
    <rPh sb="2" eb="5">
      <t>チュウガッコウ</t>
    </rPh>
    <phoneticPr fontId="28"/>
  </si>
  <si>
    <t>塩浜中学校</t>
    <rPh sb="0" eb="2">
      <t>シオハマ</t>
    </rPh>
    <rPh sb="2" eb="5">
      <t>チュウガッコウ</t>
    </rPh>
    <phoneticPr fontId="28"/>
  </si>
  <si>
    <t>山手中学校</t>
    <rPh sb="0" eb="2">
      <t>ヤマテ</t>
    </rPh>
    <rPh sb="2" eb="5">
      <t>チュウガッコウ</t>
    </rPh>
    <phoneticPr fontId="28"/>
  </si>
  <si>
    <t>富田中学校</t>
    <rPh sb="0" eb="2">
      <t>トミタ</t>
    </rPh>
    <rPh sb="2" eb="5">
      <t>チュウガッコウ</t>
    </rPh>
    <phoneticPr fontId="28"/>
  </si>
  <si>
    <t>富洲原中学校</t>
    <rPh sb="0" eb="3">
      <t>トミスハラ</t>
    </rPh>
    <rPh sb="3" eb="6">
      <t>チュウガッコウ</t>
    </rPh>
    <phoneticPr fontId="28"/>
  </si>
  <si>
    <t>笹川中学校</t>
    <rPh sb="0" eb="2">
      <t>ササガワ</t>
    </rPh>
    <rPh sb="2" eb="5">
      <t>チュウガッコウ</t>
    </rPh>
    <phoneticPr fontId="28"/>
  </si>
  <si>
    <t>三滝中学校</t>
    <rPh sb="0" eb="2">
      <t>ミタキ</t>
    </rPh>
    <rPh sb="2" eb="5">
      <t>チュウガッコウ</t>
    </rPh>
    <phoneticPr fontId="28"/>
  </si>
  <si>
    <t>大池中学校</t>
    <rPh sb="0" eb="2">
      <t>オオイケ</t>
    </rPh>
    <rPh sb="2" eb="5">
      <t>チュウガッコウ</t>
    </rPh>
    <phoneticPr fontId="28"/>
  </si>
  <si>
    <t>朝明中学校</t>
    <rPh sb="0" eb="2">
      <t>チョウメイ</t>
    </rPh>
    <rPh sb="2" eb="5">
      <t>チュウガッコウ</t>
    </rPh>
    <phoneticPr fontId="28"/>
  </si>
  <si>
    <t>保々中学校</t>
    <rPh sb="0" eb="2">
      <t>ホホ</t>
    </rPh>
    <rPh sb="2" eb="5">
      <t>チュウガッコウ</t>
    </rPh>
    <phoneticPr fontId="28"/>
  </si>
  <si>
    <t>常磐中学校</t>
    <rPh sb="0" eb="2">
      <t>トキワ</t>
    </rPh>
    <rPh sb="2" eb="5">
      <t>チュウガッコウ</t>
    </rPh>
    <phoneticPr fontId="28"/>
  </si>
  <si>
    <t>西陵中学校</t>
    <rPh sb="0" eb="2">
      <t>セイリョウ</t>
    </rPh>
    <rPh sb="2" eb="5">
      <t>チュウガッコウ</t>
    </rPh>
    <phoneticPr fontId="28"/>
  </si>
  <si>
    <t>西笹川中学校</t>
    <rPh sb="0" eb="1">
      <t>ニシ</t>
    </rPh>
    <rPh sb="1" eb="3">
      <t>ササガワ</t>
    </rPh>
    <rPh sb="3" eb="6">
      <t>チュウガッコウ</t>
    </rPh>
    <phoneticPr fontId="28"/>
  </si>
  <si>
    <t>三重平中学校</t>
    <rPh sb="0" eb="2">
      <t>ミエ</t>
    </rPh>
    <rPh sb="2" eb="3">
      <t>ダイラ</t>
    </rPh>
    <rPh sb="3" eb="6">
      <t>チュウガッコウ</t>
    </rPh>
    <phoneticPr fontId="28"/>
  </si>
  <si>
    <t>羽津中学校</t>
    <rPh sb="0" eb="1">
      <t>ハ</t>
    </rPh>
    <rPh sb="1" eb="2">
      <t>ツ</t>
    </rPh>
    <rPh sb="2" eb="5">
      <t>チュウガッコウ</t>
    </rPh>
    <phoneticPr fontId="28"/>
  </si>
  <si>
    <t>西朝明中学校</t>
    <rPh sb="0" eb="1">
      <t>ニシ</t>
    </rPh>
    <rPh sb="1" eb="3">
      <t>チョウメイ</t>
    </rPh>
    <rPh sb="3" eb="6">
      <t>チュウガッコウ</t>
    </rPh>
    <phoneticPr fontId="28"/>
  </si>
  <si>
    <t>桜中学校</t>
    <rPh sb="0" eb="1">
      <t>サクラ</t>
    </rPh>
    <rPh sb="1" eb="4">
      <t>チュウガッコウ</t>
    </rPh>
    <phoneticPr fontId="28"/>
  </si>
  <si>
    <t>内部中学校</t>
    <rPh sb="0" eb="2">
      <t>ナイブ</t>
    </rPh>
    <rPh sb="2" eb="5">
      <t>チュウガッコウ</t>
    </rPh>
    <phoneticPr fontId="28"/>
  </si>
  <si>
    <t>楠中学校</t>
    <rPh sb="0" eb="1">
      <t>クスノキ</t>
    </rPh>
    <rPh sb="1" eb="4">
      <t>チュウガッコウ</t>
    </rPh>
    <phoneticPr fontId="28"/>
  </si>
  <si>
    <t>学校名</t>
    <rPh sb="0" eb="3">
      <t>ガッコウメイ</t>
    </rPh>
    <phoneticPr fontId="1"/>
  </si>
  <si>
    <t>中部西小学校</t>
  </si>
  <si>
    <t>浜田小学校</t>
  </si>
  <si>
    <t>橋北小学校</t>
  </si>
  <si>
    <t>海蔵小学校</t>
  </si>
  <si>
    <t>塩浜小学校</t>
  </si>
  <si>
    <t>富洲原小学校</t>
  </si>
  <si>
    <t>羽津小学校</t>
  </si>
  <si>
    <t>常磐小学校</t>
  </si>
  <si>
    <t>日永小学校</t>
  </si>
  <si>
    <t>四郷小学校</t>
  </si>
  <si>
    <t>内部小学校</t>
  </si>
  <si>
    <t>小山田小学校</t>
  </si>
  <si>
    <t>河原田小学校</t>
  </si>
  <si>
    <t>川島小学校</t>
  </si>
  <si>
    <t>神前小学校</t>
  </si>
  <si>
    <t>桜小学校</t>
  </si>
  <si>
    <t>県小学校</t>
  </si>
  <si>
    <t>三重小学校</t>
  </si>
  <si>
    <t>大矢知興譲小学校</t>
  </si>
  <si>
    <t>八郷小学校</t>
  </si>
  <si>
    <t>下野小学校</t>
  </si>
  <si>
    <t>保々小学校</t>
  </si>
  <si>
    <t>水沢小学校</t>
  </si>
  <si>
    <t>泊山小学校</t>
  </si>
  <si>
    <t>笹川小学校</t>
  </si>
  <si>
    <t>常磐西小学校</t>
  </si>
  <si>
    <t>三重西小学校</t>
  </si>
  <si>
    <t>大谷台小学校</t>
  </si>
  <si>
    <t>桜台小学校</t>
  </si>
  <si>
    <t>三重北小学校</t>
  </si>
  <si>
    <t>八郷西小学校</t>
  </si>
  <si>
    <t>羽津北小学校</t>
  </si>
  <si>
    <t>内部東小学校</t>
  </si>
  <si>
    <t>中央小学校</t>
  </si>
  <si>
    <t>楠小学校</t>
  </si>
  <si>
    <t>中部中学校</t>
  </si>
  <si>
    <t>塩浜中学校</t>
  </si>
  <si>
    <t>山手中学校</t>
  </si>
  <si>
    <t>富田中学校</t>
  </si>
  <si>
    <t>富洲原中学校</t>
  </si>
  <si>
    <t>笹川中学校</t>
  </si>
  <si>
    <t>三滝中学校</t>
  </si>
  <si>
    <t>大池中学校</t>
  </si>
  <si>
    <t>朝明中学校</t>
  </si>
  <si>
    <t>保々中学校</t>
  </si>
  <si>
    <t>常磐中学校</t>
  </si>
  <si>
    <t>西陵中学校</t>
  </si>
  <si>
    <t>西笹川中学校</t>
  </si>
  <si>
    <t>三重平中学校</t>
  </si>
  <si>
    <t>羽津中学校</t>
  </si>
  <si>
    <t>西朝明中学校</t>
  </si>
  <si>
    <t>桜中学校</t>
  </si>
  <si>
    <t>内部中学校</t>
  </si>
  <si>
    <t>楠中学校</t>
  </si>
  <si>
    <t>※１ このシートは、様式11-6とリンクしています。学校毎に様式11-5と様式11-6を必ずセットで利用してください。</t>
    <rPh sb="10" eb="12">
      <t>ヨウシキ</t>
    </rPh>
    <rPh sb="26" eb="28">
      <t>ガッコウ</t>
    </rPh>
    <rPh sb="28" eb="29">
      <t>ゴト</t>
    </rPh>
    <rPh sb="30" eb="32">
      <t>ヨウシキ</t>
    </rPh>
    <rPh sb="37" eb="39">
      <t>ヨウシキ</t>
    </rPh>
    <rPh sb="44" eb="45">
      <t>カナラ</t>
    </rPh>
    <rPh sb="50" eb="52">
      <t>リヨウ</t>
    </rPh>
    <phoneticPr fontId="4"/>
  </si>
  <si>
    <t>室用途番号</t>
    <rPh sb="0" eb="1">
      <t>シツ</t>
    </rPh>
    <rPh sb="1" eb="3">
      <t>ヨウト</t>
    </rPh>
    <rPh sb="3" eb="5">
      <t>バンゴウ</t>
    </rPh>
    <phoneticPr fontId="4"/>
  </si>
  <si>
    <t>※３ このファイルはシートの追加や削除ができませんので、学校ごとにファイルを作成してください。</t>
    <rPh sb="14" eb="16">
      <t>ツイカ</t>
    </rPh>
    <rPh sb="17" eb="19">
      <t>サクジョ</t>
    </rPh>
    <rPh sb="28" eb="30">
      <t>ガッコウ</t>
    </rPh>
    <rPh sb="38" eb="40">
      <t>サクセイ</t>
    </rPh>
    <phoneticPr fontId="4"/>
  </si>
  <si>
    <t>※４ 着色されているセル部分に、適宜入力して下さい。ガスを使用する場合は、右上のプルダウンメニューより、ガス種別を選択してください。</t>
    <rPh sb="3" eb="5">
      <t>チャクショク</t>
    </rPh>
    <rPh sb="12" eb="14">
      <t>ブブン</t>
    </rPh>
    <rPh sb="16" eb="18">
      <t>テキギ</t>
    </rPh>
    <rPh sb="18" eb="20">
      <t>ニュウリョク</t>
    </rPh>
    <rPh sb="22" eb="23">
      <t>クダ</t>
    </rPh>
    <rPh sb="29" eb="31">
      <t>シヨウ</t>
    </rPh>
    <rPh sb="33" eb="35">
      <t>バアイ</t>
    </rPh>
    <rPh sb="37" eb="39">
      <t>ミギウエ</t>
    </rPh>
    <rPh sb="54" eb="56">
      <t>シュベツ</t>
    </rPh>
    <rPh sb="57" eb="59">
      <t>センタク</t>
    </rPh>
    <phoneticPr fontId="4"/>
  </si>
  <si>
    <t>※６ ガスの消費量は、標準状態の体積（m3N）を入力してください。</t>
    <rPh sb="6" eb="8">
      <t>ショウヒ</t>
    </rPh>
    <rPh sb="8" eb="9">
      <t>リョウ</t>
    </rPh>
    <rPh sb="11" eb="13">
      <t>ヒョウジュン</t>
    </rPh>
    <rPh sb="13" eb="15">
      <t>ジョウタイ</t>
    </rPh>
    <rPh sb="16" eb="18">
      <t>タイセキ</t>
    </rPh>
    <rPh sb="24" eb="26">
      <t>ニュウリョク</t>
    </rPh>
    <phoneticPr fontId="4"/>
  </si>
  <si>
    <t>※７ 各機器類の仕様（能力、消費量）がわかる資料等を添付してください。</t>
    <rPh sb="3" eb="7">
      <t>カクキキルイ</t>
    </rPh>
    <rPh sb="8" eb="10">
      <t>シヨウ</t>
    </rPh>
    <rPh sb="11" eb="13">
      <t>ノウリョク</t>
    </rPh>
    <rPh sb="14" eb="17">
      <t>ショウヒリョウ</t>
    </rPh>
    <rPh sb="22" eb="24">
      <t>シリョウ</t>
    </rPh>
    <rPh sb="24" eb="25">
      <t>トウ</t>
    </rPh>
    <rPh sb="26" eb="28">
      <t>テンプ</t>
    </rPh>
    <phoneticPr fontId="4"/>
  </si>
  <si>
    <t>シート入力時の注意事項</t>
    <rPh sb="3" eb="5">
      <t>ニュウリョク</t>
    </rPh>
    <rPh sb="5" eb="6">
      <t>ジ</t>
    </rPh>
    <rPh sb="7" eb="9">
      <t>チュウイ</t>
    </rPh>
    <rPh sb="9" eb="11">
      <t>ジコウ</t>
    </rPh>
    <phoneticPr fontId="4"/>
  </si>
  <si>
    <t>②職員室</t>
  </si>
  <si>
    <t>②職員室</t>
    <phoneticPr fontId="4"/>
  </si>
  <si>
    <t>③校長室</t>
    <rPh sb="1" eb="4">
      <t>コウチョウシツ</t>
    </rPh>
    <phoneticPr fontId="4"/>
  </si>
  <si>
    <t>④保健室</t>
    <rPh sb="1" eb="4">
      <t>ホケンシツ</t>
    </rPh>
    <phoneticPr fontId="4"/>
  </si>
  <si>
    <t>⑥会議室</t>
    <rPh sb="1" eb="4">
      <t>カイギシツ</t>
    </rPh>
    <phoneticPr fontId="4"/>
  </si>
  <si>
    <t>⑤相談室</t>
    <rPh sb="1" eb="4">
      <t>ソウダンシツ</t>
    </rPh>
    <phoneticPr fontId="4"/>
  </si>
  <si>
    <t>⑦その他居室</t>
    <rPh sb="3" eb="6">
      <t>タキョシツ</t>
    </rPh>
    <phoneticPr fontId="4"/>
  </si>
  <si>
    <t>⑧その他居室（授業での使用が想定される居室）</t>
    <rPh sb="3" eb="6">
      <t>タキョシツ</t>
    </rPh>
    <rPh sb="7" eb="9">
      <t>ジュギョウ</t>
    </rPh>
    <rPh sb="11" eb="13">
      <t>シヨウ</t>
    </rPh>
    <rPh sb="14" eb="16">
      <t>ソウテイ</t>
    </rPh>
    <rPh sb="19" eb="21">
      <t>キョシツ</t>
    </rPh>
    <phoneticPr fontId="4"/>
  </si>
  <si>
    <t>-</t>
    <phoneticPr fontId="4"/>
  </si>
  <si>
    <t>-</t>
  </si>
  <si>
    <t>学校ごとの集計</t>
    <rPh sb="0" eb="2">
      <t>ガッコウ</t>
    </rPh>
    <rPh sb="5" eb="7">
      <t>シュウケイ</t>
    </rPh>
    <phoneticPr fontId="4"/>
  </si>
  <si>
    <t>全室</t>
    <rPh sb="0" eb="2">
      <t>ゼンシツ</t>
    </rPh>
    <phoneticPr fontId="4"/>
  </si>
  <si>
    <t>-</t>
    <phoneticPr fontId="4"/>
  </si>
  <si>
    <t>燃料調整単価</t>
    <rPh sb="0" eb="2">
      <t>ネンリョウ</t>
    </rPh>
    <rPh sb="2" eb="4">
      <t>チョウセイ</t>
    </rPh>
    <rPh sb="4" eb="6">
      <t>タンカ</t>
    </rPh>
    <phoneticPr fontId="4"/>
  </si>
  <si>
    <t>再エネ賦課金</t>
    <rPh sb="0" eb="1">
      <t>サイ</t>
    </rPh>
    <rPh sb="3" eb="6">
      <t>フカキン</t>
    </rPh>
    <phoneticPr fontId="4"/>
  </si>
  <si>
    <t>ガス種別</t>
    <rPh sb="2" eb="4">
      <t>シュベツ</t>
    </rPh>
    <phoneticPr fontId="4"/>
  </si>
  <si>
    <t>都市ガス</t>
    <rPh sb="0" eb="2">
      <t>トシ</t>
    </rPh>
    <phoneticPr fontId="4"/>
  </si>
  <si>
    <t>AC-1</t>
    <phoneticPr fontId="4"/>
  </si>
  <si>
    <t>AC-2</t>
  </si>
  <si>
    <t>AC-3</t>
  </si>
  <si>
    <t>AC-4</t>
  </si>
  <si>
    <t>AC-5</t>
  </si>
  <si>
    <t>AC-6</t>
  </si>
  <si>
    <t>AC-7</t>
  </si>
  <si>
    <t>AC-8</t>
  </si>
  <si>
    <t>校長室</t>
    <rPh sb="0" eb="3">
      <t>コウチョウシツ</t>
    </rPh>
    <phoneticPr fontId="2"/>
  </si>
  <si>
    <t>職員室</t>
    <rPh sb="0" eb="3">
      <t>ショクインシツ</t>
    </rPh>
    <phoneticPr fontId="2"/>
  </si>
  <si>
    <t>会議室（2）</t>
    <rPh sb="0" eb="3">
      <t>カイギシツ</t>
    </rPh>
    <phoneticPr fontId="2"/>
  </si>
  <si>
    <t>和室</t>
    <rPh sb="0" eb="2">
      <t>ワシツ</t>
    </rPh>
    <phoneticPr fontId="2"/>
  </si>
  <si>
    <t>OA室</t>
    <rPh sb="2" eb="3">
      <t>シツ</t>
    </rPh>
    <phoneticPr fontId="2"/>
  </si>
  <si>
    <t>相談室</t>
    <rPh sb="0" eb="3">
      <t>ソウダンシツ</t>
    </rPh>
    <phoneticPr fontId="2"/>
  </si>
  <si>
    <t>保健室</t>
    <rPh sb="0" eb="3">
      <t>ホケンシツ</t>
    </rPh>
    <phoneticPr fontId="2"/>
  </si>
  <si>
    <t>会議室（むくの木室）</t>
    <rPh sb="0" eb="3">
      <t>カイギシツ</t>
    </rPh>
    <rPh sb="7" eb="8">
      <t>キ</t>
    </rPh>
    <rPh sb="8" eb="9">
      <t>シツ</t>
    </rPh>
    <phoneticPr fontId="2"/>
  </si>
  <si>
    <t>情報室</t>
    <rPh sb="0" eb="3">
      <t>ジョウホウシツ</t>
    </rPh>
    <phoneticPr fontId="2"/>
  </si>
  <si>
    <t>和</t>
    <rPh sb="0" eb="1">
      <t>ワ</t>
    </rPh>
    <phoneticPr fontId="2"/>
  </si>
  <si>
    <t>OA</t>
  </si>
  <si>
    <t>研修室1</t>
    <rPh sb="0" eb="3">
      <t>ケンシュウシツ</t>
    </rPh>
    <phoneticPr fontId="2"/>
  </si>
  <si>
    <t>パソコン室</t>
    <rPh sb="4" eb="5">
      <t>シツ</t>
    </rPh>
    <phoneticPr fontId="2"/>
  </si>
  <si>
    <t>ｺﾐｭﾆﾃｨｰ</t>
  </si>
  <si>
    <t>第2音楽室</t>
    <rPh sb="0" eb="1">
      <t>ダイ</t>
    </rPh>
    <rPh sb="2" eb="5">
      <t>オンガクシツ</t>
    </rPh>
    <phoneticPr fontId="2"/>
  </si>
  <si>
    <t>R5普</t>
    <rPh sb="2" eb="3">
      <t>フ</t>
    </rPh>
    <phoneticPr fontId="2"/>
  </si>
  <si>
    <t>休憩室</t>
    <rPh sb="0" eb="3">
      <t>キュウケイシツ</t>
    </rPh>
    <phoneticPr fontId="2"/>
  </si>
  <si>
    <t>ｺﾝﾋﾟｭｰﾀ室</t>
    <rPh sb="7" eb="8">
      <t>シツ</t>
    </rPh>
    <phoneticPr fontId="2"/>
  </si>
  <si>
    <t>多目的教室</t>
    <rPh sb="0" eb="5">
      <t>タモクテキキョウシツ</t>
    </rPh>
    <phoneticPr fontId="2"/>
  </si>
  <si>
    <t>多目的室</t>
    <rPh sb="0" eb="3">
      <t>タモクテキ</t>
    </rPh>
    <rPh sb="3" eb="4">
      <t>シツ</t>
    </rPh>
    <phoneticPr fontId="2"/>
  </si>
  <si>
    <t>ワゴンルーム</t>
  </si>
  <si>
    <t>OAコーナー</t>
  </si>
  <si>
    <t>ﾌﾟﾚｲﾙｰﾑ</t>
  </si>
  <si>
    <t>ｺﾐｭﾆﾃｨ―室</t>
    <rPh sb="6" eb="8">
      <t>ーシツ</t>
    </rPh>
    <phoneticPr fontId="2"/>
  </si>
  <si>
    <t>和室（1）</t>
    <rPh sb="0" eb="2">
      <t>ワシツ</t>
    </rPh>
    <phoneticPr fontId="2"/>
  </si>
  <si>
    <t>和室（2）</t>
    <rPh sb="0" eb="2">
      <t>ワシツ</t>
    </rPh>
    <phoneticPr fontId="2"/>
  </si>
  <si>
    <t>ランチルーム</t>
  </si>
  <si>
    <t>①67.5㎡程度の室</t>
    <rPh sb="6" eb="8">
      <t>テイド</t>
    </rPh>
    <phoneticPr fontId="4"/>
  </si>
  <si>
    <t>低学年図書</t>
    <rPh sb="0" eb="5">
      <t>テイガクネントショ</t>
    </rPh>
    <phoneticPr fontId="2"/>
  </si>
  <si>
    <t>少人数（南）</t>
    <rPh sb="0" eb="3">
      <t>ショウニンズウ</t>
    </rPh>
    <rPh sb="4" eb="5">
      <t>ミナミ</t>
    </rPh>
    <phoneticPr fontId="2"/>
  </si>
  <si>
    <t>少人数</t>
    <rPh sb="0" eb="3">
      <t>ショウニンズウ</t>
    </rPh>
    <phoneticPr fontId="2"/>
  </si>
  <si>
    <t>ｺﾝﾋﾟｭｰﾀ</t>
  </si>
  <si>
    <t>①67.5㎡程度の室</t>
    <phoneticPr fontId="4"/>
  </si>
  <si>
    <t>②職員室</t>
    <phoneticPr fontId="4"/>
  </si>
  <si>
    <t>②職員室</t>
    <phoneticPr fontId="4"/>
  </si>
  <si>
    <t>会議室</t>
    <rPh sb="0" eb="3">
      <t>カイギシツ</t>
    </rPh>
    <phoneticPr fontId="2"/>
  </si>
  <si>
    <t>特別支援さくら1</t>
    <rPh sb="0" eb="4">
      <t>トクベツシエン</t>
    </rPh>
    <phoneticPr fontId="2"/>
  </si>
  <si>
    <t>特別支援さくら3</t>
    <rPh sb="0" eb="4">
      <t>トクベツシエン</t>
    </rPh>
    <phoneticPr fontId="2"/>
  </si>
  <si>
    <t>少人数</t>
    <rPh sb="0" eb="3">
      <t>ショウ</t>
    </rPh>
    <phoneticPr fontId="2"/>
  </si>
  <si>
    <t>ｺﾐｭﾆﾃｨ室</t>
    <rPh sb="6" eb="7">
      <t>シツ</t>
    </rPh>
    <phoneticPr fontId="2"/>
  </si>
  <si>
    <t>図書室（低）</t>
    <rPh sb="0" eb="3">
      <t>トショシツ</t>
    </rPh>
    <rPh sb="4" eb="5">
      <t>ヒク</t>
    </rPh>
    <phoneticPr fontId="2"/>
  </si>
  <si>
    <t>視聴覚室</t>
    <rPh sb="0" eb="4">
      <t>シチョウカクシツ</t>
    </rPh>
    <phoneticPr fontId="2"/>
  </si>
  <si>
    <t>校長室</t>
    <rPh sb="0" eb="2">
      <t>コウチョウ</t>
    </rPh>
    <rPh sb="2" eb="3">
      <t>シツ</t>
    </rPh>
    <phoneticPr fontId="2"/>
  </si>
  <si>
    <t>休憩</t>
    <rPh sb="0" eb="2">
      <t>キュウケイ</t>
    </rPh>
    <phoneticPr fontId="2"/>
  </si>
  <si>
    <t>相談</t>
    <rPh sb="0" eb="2">
      <t>ソウダン</t>
    </rPh>
    <phoneticPr fontId="2"/>
  </si>
  <si>
    <t>第２音楽室</t>
    <rPh sb="0" eb="1">
      <t>ダイ</t>
    </rPh>
    <rPh sb="2" eb="5">
      <t>オンガクシツ</t>
    </rPh>
    <phoneticPr fontId="2"/>
  </si>
  <si>
    <t>第１音楽室</t>
    <rPh sb="0" eb="1">
      <t>ダイ</t>
    </rPh>
    <rPh sb="2" eb="5">
      <t>オンガクシツ</t>
    </rPh>
    <phoneticPr fontId="2"/>
  </si>
  <si>
    <t>パソコン</t>
  </si>
  <si>
    <t>多目的教室（南、中、北）</t>
    <rPh sb="0" eb="5">
      <t>タモクテキキョウシツ</t>
    </rPh>
    <rPh sb="6" eb="7">
      <t>ミナミ</t>
    </rPh>
    <rPh sb="8" eb="9">
      <t>チュウ</t>
    </rPh>
    <rPh sb="10" eb="11">
      <t>キタ</t>
    </rPh>
    <phoneticPr fontId="2"/>
  </si>
  <si>
    <t>教育相談</t>
    <rPh sb="0" eb="4">
      <t>キョウイクソウダン</t>
    </rPh>
    <phoneticPr fontId="2"/>
  </si>
  <si>
    <t>少人数1</t>
    <rPh sb="0" eb="3">
      <t>ショウニンズウ</t>
    </rPh>
    <phoneticPr fontId="2"/>
  </si>
  <si>
    <t>伝統文化室</t>
    <rPh sb="0" eb="5">
      <t>デントウブンカシツ</t>
    </rPh>
    <phoneticPr fontId="2"/>
  </si>
  <si>
    <t>日本語指導・ｻﾎﾟｰﾄﾙｰﾑ</t>
    <rPh sb="0" eb="5">
      <t>ニホンゴシドウ</t>
    </rPh>
    <phoneticPr fontId="2"/>
  </si>
  <si>
    <t>特別支援学び5</t>
    <rPh sb="0" eb="2">
      <t>トクベツ</t>
    </rPh>
    <rPh sb="2" eb="4">
      <t>シエン</t>
    </rPh>
    <rPh sb="4" eb="5">
      <t>マナ</t>
    </rPh>
    <phoneticPr fontId="2"/>
  </si>
  <si>
    <t>普</t>
    <rPh sb="0" eb="1">
      <t>フ</t>
    </rPh>
    <phoneticPr fontId="2"/>
  </si>
  <si>
    <t>室種別</t>
    <rPh sb="0" eb="1">
      <t>シツ</t>
    </rPh>
    <rPh sb="1" eb="3">
      <t>シュベツ</t>
    </rPh>
    <phoneticPr fontId="4"/>
  </si>
  <si>
    <t>空調使用割合</t>
    <rPh sb="0" eb="2">
      <t>クウチョウ</t>
    </rPh>
    <rPh sb="2" eb="4">
      <t>シヨウ</t>
    </rPh>
    <rPh sb="4" eb="6">
      <t>ワリアイ</t>
    </rPh>
    <phoneticPr fontId="4"/>
  </si>
  <si>
    <t>少人数（学習室1）</t>
    <rPh sb="0" eb="3">
      <t>ショウニンズウ</t>
    </rPh>
    <rPh sb="4" eb="7">
      <t>ガクシュウシツ</t>
    </rPh>
    <phoneticPr fontId="2"/>
  </si>
  <si>
    <t>少人数A</t>
    <rPh sb="0" eb="3">
      <t>ショウニンズウ</t>
    </rPh>
    <phoneticPr fontId="2"/>
  </si>
  <si>
    <t>特別支援（なかよしA）</t>
    <rPh sb="0" eb="4">
      <t>トクベツシエン</t>
    </rPh>
    <phoneticPr fontId="2"/>
  </si>
  <si>
    <t>特別支援（なかよしB）</t>
    <rPh sb="0" eb="4">
      <t>トクベツシエン</t>
    </rPh>
    <phoneticPr fontId="2"/>
  </si>
  <si>
    <t>学習室</t>
    <rPh sb="0" eb="3">
      <t>ガクシュウシツ</t>
    </rPh>
    <phoneticPr fontId="2"/>
  </si>
  <si>
    <t>普通教室</t>
    <rPh sb="0" eb="4">
      <t>フツウキョウシツ</t>
    </rPh>
    <phoneticPr fontId="2"/>
  </si>
  <si>
    <t>多目的教室</t>
    <rPh sb="0" eb="3">
      <t>タモクテキ</t>
    </rPh>
    <rPh sb="3" eb="5">
      <t>キョウシツ</t>
    </rPh>
    <phoneticPr fontId="2"/>
  </si>
  <si>
    <t>教材室</t>
    <rPh sb="0" eb="3">
      <t>キョウザイシツ</t>
    </rPh>
    <phoneticPr fontId="2"/>
  </si>
  <si>
    <t>会議室（南）</t>
    <rPh sb="0" eb="3">
      <t>カイギシツ</t>
    </rPh>
    <rPh sb="4" eb="5">
      <t>ミナミ</t>
    </rPh>
    <phoneticPr fontId="2"/>
  </si>
  <si>
    <t>⑧その他居室（授業での使用が想定される居室）</t>
  </si>
  <si>
    <t>ｻﾎﾟｰﾄﾙｰﾑ</t>
  </si>
  <si>
    <t>ｺﾝﾋﾟｭｰﾀｰ室</t>
    <rPh sb="8" eb="9">
      <t>シツ</t>
    </rPh>
    <phoneticPr fontId="2"/>
  </si>
  <si>
    <t>ほっとﾙｰﾑ1通級</t>
    <rPh sb="7" eb="9">
      <t>ツウキュウ</t>
    </rPh>
    <phoneticPr fontId="2"/>
  </si>
  <si>
    <t>コミュニティ室</t>
    <rPh sb="6" eb="7">
      <t>シツ</t>
    </rPh>
    <phoneticPr fontId="2"/>
  </si>
  <si>
    <t>生活科</t>
    <rPh sb="0" eb="3">
      <t>セイカツカ</t>
    </rPh>
    <phoneticPr fontId="2"/>
  </si>
  <si>
    <t>少人数１</t>
    <rPh sb="0" eb="3">
      <t>ショウニンズウ</t>
    </rPh>
    <phoneticPr fontId="2"/>
  </si>
  <si>
    <t>印刷室</t>
    <rPh sb="0" eb="3">
      <t>インサツシツ</t>
    </rPh>
    <phoneticPr fontId="2"/>
  </si>
  <si>
    <t>特別支援（なかよし4）</t>
    <rPh sb="0" eb="2">
      <t>トクベツ</t>
    </rPh>
    <rPh sb="2" eb="4">
      <t>シエン</t>
    </rPh>
    <phoneticPr fontId="2"/>
  </si>
  <si>
    <t>特別支援（なかよし5）</t>
    <rPh sb="0" eb="2">
      <t>トクベツ</t>
    </rPh>
    <rPh sb="2" eb="4">
      <t>シエン</t>
    </rPh>
    <phoneticPr fontId="2"/>
  </si>
  <si>
    <t>ﾏﾙﾁﾒﾃﾞｨｱﾙｰﾑ</t>
  </si>
  <si>
    <t>第一音楽室</t>
    <rPh sb="0" eb="2">
      <t>ダイイチ</t>
    </rPh>
    <rPh sb="2" eb="5">
      <t>オンガクシツ</t>
    </rPh>
    <phoneticPr fontId="2"/>
  </si>
  <si>
    <t>情報室（PC）</t>
    <rPh sb="0" eb="3">
      <t>ジョウホウシツ</t>
    </rPh>
    <phoneticPr fontId="2"/>
  </si>
  <si>
    <t>児童会室</t>
    <rPh sb="0" eb="4">
      <t>ジドウカイシツ</t>
    </rPh>
    <phoneticPr fontId="2"/>
  </si>
  <si>
    <t>多目的室</t>
    <rPh sb="0" eb="4">
      <t>タモクテキシツ</t>
    </rPh>
    <phoneticPr fontId="2"/>
  </si>
  <si>
    <t>開放教室（北・南）</t>
    <rPh sb="0" eb="4">
      <t>カイホウキョウシツ</t>
    </rPh>
    <rPh sb="5" eb="6">
      <t>キタ</t>
    </rPh>
    <rPh sb="7" eb="8">
      <t>ミナミ</t>
    </rPh>
    <phoneticPr fontId="2"/>
  </si>
  <si>
    <t>やまびこ</t>
  </si>
  <si>
    <t>開放室</t>
    <rPh sb="0" eb="3">
      <t>カイホウシツ</t>
    </rPh>
    <phoneticPr fontId="2"/>
  </si>
  <si>
    <t>相談室1</t>
    <rPh sb="0" eb="3">
      <t>ソウダンシツ</t>
    </rPh>
    <phoneticPr fontId="2"/>
  </si>
  <si>
    <t>低学年音楽室</t>
    <rPh sb="0" eb="6">
      <t>テイガクネンオンガクシツ</t>
    </rPh>
    <phoneticPr fontId="2"/>
  </si>
  <si>
    <t>特支</t>
    <rPh sb="0" eb="2">
      <t>トクシ</t>
    </rPh>
    <phoneticPr fontId="2"/>
  </si>
  <si>
    <t>３年少人数</t>
    <rPh sb="1" eb="5">
      <t>ネンショウニンズウ</t>
    </rPh>
    <phoneticPr fontId="2"/>
  </si>
  <si>
    <t>４年少人数</t>
    <rPh sb="1" eb="5">
      <t>ネンショウニンズウ</t>
    </rPh>
    <phoneticPr fontId="2"/>
  </si>
  <si>
    <t>相談室2</t>
    <rPh sb="0" eb="3">
      <t>ソウダンシツ</t>
    </rPh>
    <phoneticPr fontId="2"/>
  </si>
  <si>
    <t>生活２</t>
    <rPh sb="0" eb="2">
      <t>セイカツ</t>
    </rPh>
    <phoneticPr fontId="2"/>
  </si>
  <si>
    <t>研修室</t>
    <rPh sb="0" eb="3">
      <t>ケンシュウシツ</t>
    </rPh>
    <phoneticPr fontId="2"/>
  </si>
  <si>
    <t>通級指導教室</t>
    <rPh sb="0" eb="2">
      <t>ツウキュウ</t>
    </rPh>
    <rPh sb="2" eb="4">
      <t>シドウ</t>
    </rPh>
    <rPh sb="4" eb="6">
      <t>キョウシツ</t>
    </rPh>
    <phoneticPr fontId="2"/>
  </si>
  <si>
    <t>図書準備室</t>
    <rPh sb="0" eb="2">
      <t>トショ</t>
    </rPh>
    <rPh sb="2" eb="4">
      <t>ジュンビ</t>
    </rPh>
    <rPh sb="4" eb="5">
      <t>シツ</t>
    </rPh>
    <phoneticPr fontId="2"/>
  </si>
  <si>
    <t>PC室</t>
    <rPh sb="2" eb="3">
      <t>シツ</t>
    </rPh>
    <phoneticPr fontId="2"/>
  </si>
  <si>
    <t>相談室Ⅰ</t>
    <rPh sb="0" eb="3">
      <t>ソウダンシツ</t>
    </rPh>
    <phoneticPr fontId="2"/>
  </si>
  <si>
    <t>ｺﾝﾋﾟｭｰﾀｰ教室</t>
    <rPh sb="8" eb="10">
      <t>キョウシツ</t>
    </rPh>
    <phoneticPr fontId="2"/>
  </si>
  <si>
    <t>のびのび2</t>
  </si>
  <si>
    <t>教育相談室1</t>
    <rPh sb="0" eb="5">
      <t>キョウイクソウダンシツ</t>
    </rPh>
    <phoneticPr fontId="2"/>
  </si>
  <si>
    <t>教育相談室2</t>
    <rPh sb="0" eb="5">
      <t>キョウイクソウダンシツ</t>
    </rPh>
    <phoneticPr fontId="2"/>
  </si>
  <si>
    <t>プレールーム</t>
  </si>
  <si>
    <t>共同事務</t>
    <rPh sb="0" eb="4">
      <t>キョウドウジム</t>
    </rPh>
    <phoneticPr fontId="2"/>
  </si>
  <si>
    <t>和室開放用</t>
    <rPh sb="0" eb="5">
      <t>ワシツカイホウヨウ</t>
    </rPh>
    <phoneticPr fontId="2"/>
  </si>
  <si>
    <t>特別支援（たんぽぽ2）</t>
    <rPh sb="0" eb="4">
      <t>トクベツシエン</t>
    </rPh>
    <phoneticPr fontId="2"/>
  </si>
  <si>
    <t>図書低</t>
    <rPh sb="0" eb="2">
      <t>トショ</t>
    </rPh>
    <rPh sb="2" eb="3">
      <t>ヒク</t>
    </rPh>
    <phoneticPr fontId="2"/>
  </si>
  <si>
    <t>会議室（和室）</t>
    <rPh sb="0" eb="3">
      <t>カイギシツ</t>
    </rPh>
    <rPh sb="4" eb="6">
      <t>ワシツ</t>
    </rPh>
    <phoneticPr fontId="2"/>
  </si>
  <si>
    <t>事務室</t>
    <rPh sb="0" eb="3">
      <t>ジムシツ</t>
    </rPh>
    <phoneticPr fontId="2"/>
  </si>
  <si>
    <t>相談室（小）</t>
    <rPh sb="0" eb="3">
      <t>ソウダンシツ</t>
    </rPh>
    <rPh sb="4" eb="5">
      <t>ショウ</t>
    </rPh>
    <phoneticPr fontId="2"/>
  </si>
  <si>
    <t>第一会議室</t>
    <rPh sb="0" eb="5">
      <t>ダイイチカイギシツ</t>
    </rPh>
    <phoneticPr fontId="2"/>
  </si>
  <si>
    <t>第二会議室</t>
    <rPh sb="0" eb="5">
      <t>ダイニカイギシツ</t>
    </rPh>
    <phoneticPr fontId="2"/>
  </si>
  <si>
    <t>低図書</t>
    <rPh sb="0" eb="1">
      <t>テイ</t>
    </rPh>
    <rPh sb="1" eb="3">
      <t>トショ</t>
    </rPh>
    <phoneticPr fontId="2"/>
  </si>
  <si>
    <t>開放教室</t>
    <rPh sb="0" eb="4">
      <t>カイホウキョウシツ</t>
    </rPh>
    <phoneticPr fontId="2"/>
  </si>
  <si>
    <t>特別支援（なかよし）</t>
    <rPh sb="0" eb="4">
      <t>トクベツシエン</t>
    </rPh>
    <phoneticPr fontId="2"/>
  </si>
  <si>
    <t>生活科R2</t>
    <rPh sb="0" eb="3">
      <t>セイカツカ</t>
    </rPh>
    <phoneticPr fontId="2"/>
  </si>
  <si>
    <t>ﾗﾝﾁﾙｰﾑ</t>
  </si>
  <si>
    <t>特別支援（あおぞら2）</t>
    <rPh sb="0" eb="4">
      <t>トクベツシエン</t>
    </rPh>
    <phoneticPr fontId="2"/>
  </si>
  <si>
    <t>家庭科室</t>
    <rPh sb="0" eb="4">
      <t>カテイカシツ</t>
    </rPh>
    <phoneticPr fontId="2"/>
  </si>
  <si>
    <t>準備室</t>
    <rPh sb="0" eb="2">
      <t>ジュンビ</t>
    </rPh>
    <rPh sb="2" eb="3">
      <t>シツ</t>
    </rPh>
    <phoneticPr fontId="2"/>
  </si>
  <si>
    <t>準備</t>
    <rPh sb="0" eb="2">
      <t>ジュンビ</t>
    </rPh>
    <phoneticPr fontId="2"/>
  </si>
  <si>
    <t>視聴覚室PC</t>
    <rPh sb="0" eb="4">
      <t>シチョウカクシツ</t>
    </rPh>
    <phoneticPr fontId="2"/>
  </si>
  <si>
    <t>相談室（北）</t>
    <rPh sb="0" eb="3">
      <t>ソウダンシツ</t>
    </rPh>
    <rPh sb="4" eb="5">
      <t>キタ</t>
    </rPh>
    <phoneticPr fontId="2"/>
  </si>
  <si>
    <t>相談室（南）</t>
    <rPh sb="0" eb="3">
      <t>ソウダンシツ</t>
    </rPh>
    <rPh sb="4" eb="5">
      <t>ミナミ</t>
    </rPh>
    <phoneticPr fontId="2"/>
  </si>
  <si>
    <t>ｺﾐｭﾆﾃｨｰ室</t>
    <rPh sb="7" eb="8">
      <t>シツ</t>
    </rPh>
    <phoneticPr fontId="2"/>
  </si>
  <si>
    <t>相談室（心の教室）</t>
    <rPh sb="0" eb="3">
      <t>ソウダンシツ</t>
    </rPh>
    <rPh sb="4" eb="5">
      <t>ココロ</t>
    </rPh>
    <rPh sb="6" eb="8">
      <t>キョウシツ</t>
    </rPh>
    <phoneticPr fontId="2"/>
  </si>
  <si>
    <t>図書室</t>
    <rPh sb="0" eb="3">
      <t>トショシツ</t>
    </rPh>
    <phoneticPr fontId="2"/>
  </si>
  <si>
    <t>多目的ホール</t>
    <rPh sb="0" eb="3">
      <t>タモクテキ</t>
    </rPh>
    <phoneticPr fontId="2"/>
  </si>
  <si>
    <t>低学年図書室</t>
    <rPh sb="0" eb="6">
      <t>テイガクネントショシツ</t>
    </rPh>
    <phoneticPr fontId="2"/>
  </si>
  <si>
    <t>特別支援</t>
    <rPh sb="0" eb="4">
      <t>トクベツシエン</t>
    </rPh>
    <phoneticPr fontId="2"/>
  </si>
  <si>
    <t>学習準備室</t>
    <rPh sb="0" eb="5">
      <t>ガクシュウジュンビシツ</t>
    </rPh>
    <phoneticPr fontId="2"/>
  </si>
  <si>
    <t>第1音楽室</t>
    <rPh sb="0" eb="1">
      <t>ダイ</t>
    </rPh>
    <rPh sb="2" eb="5">
      <t>オンガクシツ</t>
    </rPh>
    <phoneticPr fontId="2"/>
  </si>
  <si>
    <t>倉庫</t>
    <rPh sb="0" eb="2">
      <t>ソウコ</t>
    </rPh>
    <phoneticPr fontId="2"/>
  </si>
  <si>
    <t>事務長室</t>
    <rPh sb="0" eb="4">
      <t>ジムチョウシツ</t>
    </rPh>
    <phoneticPr fontId="2"/>
  </si>
  <si>
    <t>ｺﾐｭﾆﾃｨｰ広場</t>
    <rPh sb="7" eb="9">
      <t>ヒロバ</t>
    </rPh>
    <phoneticPr fontId="2"/>
  </si>
  <si>
    <t>体育室</t>
    <rPh sb="0" eb="3">
      <t>タイイクシツ</t>
    </rPh>
    <phoneticPr fontId="2"/>
  </si>
  <si>
    <t>配膳室</t>
    <rPh sb="0" eb="3">
      <t>ハイゼンシツ</t>
    </rPh>
    <phoneticPr fontId="2"/>
  </si>
  <si>
    <t>事務センター</t>
    <rPh sb="0" eb="2">
      <t>ジム</t>
    </rPh>
    <phoneticPr fontId="2"/>
  </si>
  <si>
    <t>多目的教室（集団学習室）</t>
    <rPh sb="0" eb="5">
      <t>タモクテキキョウシツ</t>
    </rPh>
    <rPh sb="6" eb="11">
      <t>シュウダンガクシュウシツ</t>
    </rPh>
    <phoneticPr fontId="2"/>
  </si>
  <si>
    <t>美術室</t>
    <rPh sb="0" eb="3">
      <t>ビジュツシツ</t>
    </rPh>
    <phoneticPr fontId="2"/>
  </si>
  <si>
    <t>音楽室</t>
    <rPh sb="0" eb="3">
      <t>オンガクシツ</t>
    </rPh>
    <phoneticPr fontId="2"/>
  </si>
  <si>
    <t>職員室</t>
    <rPh sb="0" eb="2">
      <t>ショクイン</t>
    </rPh>
    <rPh sb="2" eb="3">
      <t>シツ</t>
    </rPh>
    <phoneticPr fontId="2"/>
  </si>
  <si>
    <t>更衣（研修）</t>
    <rPh sb="0" eb="2">
      <t>コウイ</t>
    </rPh>
    <rPh sb="3" eb="5">
      <t>ケンシュウ</t>
    </rPh>
    <phoneticPr fontId="2"/>
  </si>
  <si>
    <t>給食配膳室</t>
    <rPh sb="0" eb="2">
      <t>キュウショク</t>
    </rPh>
    <rPh sb="2" eb="5">
      <t>ハイゼンシツ</t>
    </rPh>
    <phoneticPr fontId="2"/>
  </si>
  <si>
    <t>心の相談室</t>
    <rPh sb="0" eb="1">
      <t>ココロ</t>
    </rPh>
    <rPh sb="2" eb="5">
      <t>ソウダンシツ</t>
    </rPh>
    <phoneticPr fontId="2"/>
  </si>
  <si>
    <t>第2職員室</t>
    <rPh sb="0" eb="1">
      <t>ダイ</t>
    </rPh>
    <rPh sb="2" eb="5">
      <t>ショクインシツ</t>
    </rPh>
    <phoneticPr fontId="2"/>
  </si>
  <si>
    <t>生徒会</t>
    <rPh sb="0" eb="3">
      <t>セイトカイ</t>
    </rPh>
    <phoneticPr fontId="2"/>
  </si>
  <si>
    <t>カウンセリングルーム</t>
    <phoneticPr fontId="2"/>
  </si>
  <si>
    <t>ﾁｬﾚﾝｼﾞﾙｰﾑ</t>
  </si>
  <si>
    <t>放送室</t>
    <rPh sb="0" eb="3">
      <t>ホウソウシツ</t>
    </rPh>
    <phoneticPr fontId="2"/>
  </si>
  <si>
    <t>配膳</t>
    <rPh sb="0" eb="2">
      <t>ハイゼン</t>
    </rPh>
    <phoneticPr fontId="2"/>
  </si>
  <si>
    <t>用務室</t>
    <rPh sb="0" eb="3">
      <t>ヨウムシツ</t>
    </rPh>
    <phoneticPr fontId="2"/>
  </si>
  <si>
    <t>ふれあい教室</t>
    <rPh sb="4" eb="6">
      <t>キョウシツ</t>
    </rPh>
    <phoneticPr fontId="2"/>
  </si>
  <si>
    <t>小教室</t>
    <rPh sb="0" eb="1">
      <t>ショウ</t>
    </rPh>
    <rPh sb="1" eb="3">
      <t>キョウシツ</t>
    </rPh>
    <phoneticPr fontId="2"/>
  </si>
  <si>
    <t>相談１</t>
    <rPh sb="0" eb="2">
      <t>ソウダン</t>
    </rPh>
    <phoneticPr fontId="2"/>
  </si>
  <si>
    <t>談話室</t>
    <rPh sb="0" eb="3">
      <t>ダンワシツ</t>
    </rPh>
    <phoneticPr fontId="2"/>
  </si>
  <si>
    <t>第二相談室（やすらぎ）</t>
    <rPh sb="0" eb="5">
      <t>ダイニソウダンシツ</t>
    </rPh>
    <phoneticPr fontId="2"/>
  </si>
  <si>
    <t>多文化共生ルーム</t>
    <rPh sb="0" eb="5">
      <t>タブンカキョウセイ</t>
    </rPh>
    <phoneticPr fontId="2"/>
  </si>
  <si>
    <t>第1相談室</t>
    <rPh sb="0" eb="1">
      <t>ダイ</t>
    </rPh>
    <rPh sb="2" eb="5">
      <t>ソウダンシツ</t>
    </rPh>
    <phoneticPr fontId="2"/>
  </si>
  <si>
    <t>第3相談室</t>
    <rPh sb="0" eb="1">
      <t>ダイ</t>
    </rPh>
    <rPh sb="2" eb="5">
      <t>ソウダンシツ</t>
    </rPh>
    <phoneticPr fontId="2"/>
  </si>
  <si>
    <t>第2相談室</t>
    <rPh sb="0" eb="1">
      <t>ダイ</t>
    </rPh>
    <rPh sb="2" eb="5">
      <t>ソウダンシツ</t>
    </rPh>
    <phoneticPr fontId="2"/>
  </si>
  <si>
    <t>相談室</t>
    <rPh sb="0" eb="2">
      <t>ソウダン</t>
    </rPh>
    <rPh sb="2" eb="3">
      <t>シツ</t>
    </rPh>
    <phoneticPr fontId="2"/>
  </si>
  <si>
    <t>事務センター（西・東）</t>
    <rPh sb="0" eb="2">
      <t>ジム</t>
    </rPh>
    <rPh sb="7" eb="8">
      <t>ニシ</t>
    </rPh>
    <rPh sb="9" eb="10">
      <t>ヒガシ</t>
    </rPh>
    <phoneticPr fontId="2"/>
  </si>
  <si>
    <t>小会議室</t>
    <rPh sb="0" eb="4">
      <t>ショウカイギシツ</t>
    </rPh>
    <phoneticPr fontId="2"/>
  </si>
  <si>
    <t>資料室</t>
    <rPh sb="0" eb="3">
      <t>シリョウシツ</t>
    </rPh>
    <phoneticPr fontId="2"/>
  </si>
  <si>
    <t>学習室A</t>
    <rPh sb="0" eb="3">
      <t>ガクシュウシツ</t>
    </rPh>
    <phoneticPr fontId="2"/>
  </si>
  <si>
    <t>配膳室1,2</t>
    <rPh sb="0" eb="3">
      <t>ハイゼンシツ</t>
    </rPh>
    <phoneticPr fontId="2"/>
  </si>
  <si>
    <t>第２相談</t>
    <rPh sb="0" eb="1">
      <t>ダイ</t>
    </rPh>
    <rPh sb="2" eb="4">
      <t>ソウダン</t>
    </rPh>
    <phoneticPr fontId="2"/>
  </si>
  <si>
    <t>更衣室</t>
    <rPh sb="0" eb="3">
      <t>コウイシツ</t>
    </rPh>
    <phoneticPr fontId="2"/>
  </si>
  <si>
    <t>相談①</t>
    <rPh sb="0" eb="2">
      <t>ソウダン</t>
    </rPh>
    <phoneticPr fontId="2"/>
  </si>
  <si>
    <t>相談②</t>
    <rPh sb="0" eb="2">
      <t>ソウダン</t>
    </rPh>
    <phoneticPr fontId="2"/>
  </si>
  <si>
    <t>相談③</t>
    <rPh sb="0" eb="2">
      <t>ソウダン</t>
    </rPh>
    <phoneticPr fontId="2"/>
  </si>
  <si>
    <t>特別支援（6組B）</t>
    <rPh sb="0" eb="4">
      <t>トクベツシエン</t>
    </rPh>
    <rPh sb="6" eb="7">
      <t>クミ</t>
    </rPh>
    <phoneticPr fontId="2"/>
  </si>
  <si>
    <t>R2配膳室</t>
    <rPh sb="2" eb="5">
      <t>ハイゼンシツ</t>
    </rPh>
    <phoneticPr fontId="2"/>
  </si>
  <si>
    <t>学習室（南）</t>
    <rPh sb="0" eb="3">
      <t>ガクシュウシツ</t>
    </rPh>
    <rPh sb="4" eb="5">
      <t>ミナミ</t>
    </rPh>
    <phoneticPr fontId="2"/>
  </si>
  <si>
    <t>学習室（北）</t>
    <rPh sb="0" eb="3">
      <t>ガクシュウシツ</t>
    </rPh>
    <rPh sb="4" eb="5">
      <t>キタ</t>
    </rPh>
    <phoneticPr fontId="2"/>
  </si>
  <si>
    <t>研修室（B）</t>
    <rPh sb="0" eb="3">
      <t>ケンシュウシツ</t>
    </rPh>
    <phoneticPr fontId="2"/>
  </si>
  <si>
    <t>教育相談室</t>
    <rPh sb="0" eb="5">
      <t>キョウイクソウダンシツ</t>
    </rPh>
    <phoneticPr fontId="2"/>
  </si>
  <si>
    <t>ｶｳﾝｾﾘﾝｸﾞ室</t>
    <rPh sb="8" eb="9">
      <t>シツ</t>
    </rPh>
    <phoneticPr fontId="2"/>
  </si>
  <si>
    <t>多目的室（西）</t>
    <rPh sb="0" eb="4">
      <t>タモクテキシツ</t>
    </rPh>
    <rPh sb="5" eb="6">
      <t>ニシ</t>
    </rPh>
    <phoneticPr fontId="2"/>
  </si>
  <si>
    <t>多目的室（東）</t>
    <rPh sb="0" eb="4">
      <t>タモクテキシツ</t>
    </rPh>
    <rPh sb="5" eb="6">
      <t>ヒガシ</t>
    </rPh>
    <phoneticPr fontId="2"/>
  </si>
  <si>
    <t>生徒会（西・東）</t>
    <rPh sb="0" eb="3">
      <t>セイトカイ</t>
    </rPh>
    <rPh sb="4" eb="5">
      <t>ニシ</t>
    </rPh>
    <rPh sb="6" eb="7">
      <t>ヒガシ</t>
    </rPh>
    <phoneticPr fontId="2"/>
  </si>
  <si>
    <t>⑤相談室</t>
  </si>
  <si>
    <t>A1-4</t>
  </si>
  <si>
    <t>A1-5</t>
  </si>
  <si>
    <t>A1-6</t>
  </si>
  <si>
    <t>保健室</t>
    <rPh sb="0" eb="3">
      <t>ホケンシツ</t>
    </rPh>
    <phoneticPr fontId="4"/>
  </si>
  <si>
    <t>A1-7</t>
  </si>
  <si>
    <t>普通</t>
    <rPh sb="0" eb="2">
      <t>フツウ</t>
    </rPh>
    <phoneticPr fontId="4"/>
  </si>
  <si>
    <t>校長室</t>
    <rPh sb="0" eb="3">
      <t>コウチョウシツ</t>
    </rPh>
    <phoneticPr fontId="4"/>
  </si>
  <si>
    <t>第一相談</t>
    <rPh sb="0" eb="2">
      <t>ダイイチ</t>
    </rPh>
    <rPh sb="2" eb="4">
      <t>ソウダン</t>
    </rPh>
    <phoneticPr fontId="4"/>
  </si>
  <si>
    <t>会議1</t>
    <rPh sb="0" eb="2">
      <t>カイギ</t>
    </rPh>
    <phoneticPr fontId="4"/>
  </si>
  <si>
    <t>パソコン</t>
    <phoneticPr fontId="4"/>
  </si>
  <si>
    <t>休憩</t>
    <rPh sb="0" eb="2">
      <t>キュウケイ</t>
    </rPh>
    <phoneticPr fontId="4"/>
  </si>
  <si>
    <t>A1-8</t>
  </si>
  <si>
    <t>サンプル</t>
    <phoneticPr fontId="4"/>
  </si>
  <si>
    <t>⑧その他居室（授業での使用が想定される居室）</t>
    <phoneticPr fontId="4"/>
  </si>
  <si>
    <t>屋外</t>
    <rPh sb="0" eb="2">
      <t>オクガイ</t>
    </rPh>
    <phoneticPr fontId="4"/>
  </si>
  <si>
    <t>※室用途を下表を確認のうえ選択してください↓</t>
    <rPh sb="1" eb="2">
      <t>シツ</t>
    </rPh>
    <rPh sb="2" eb="4">
      <t>ヨウト</t>
    </rPh>
    <rPh sb="5" eb="7">
      <t>カヒョウ</t>
    </rPh>
    <rPh sb="8" eb="10">
      <t>カクニン</t>
    </rPh>
    <rPh sb="13" eb="15">
      <t>センタク</t>
    </rPh>
    <phoneticPr fontId="4"/>
  </si>
  <si>
    <t>系統名称／室用途</t>
    <rPh sb="0" eb="2">
      <t>ケイトウ</t>
    </rPh>
    <rPh sb="2" eb="4">
      <t>メイショウ</t>
    </rPh>
    <rPh sb="5" eb="6">
      <t>シツ</t>
    </rPh>
    <rPh sb="6" eb="8">
      <t>ヨウト</t>
    </rPh>
    <phoneticPr fontId="4"/>
  </si>
  <si>
    <t>※適宜行を挿入して下さい。</t>
    <rPh sb="1" eb="3">
      <t>テキギ</t>
    </rPh>
    <rPh sb="3" eb="4">
      <t>ギョウ</t>
    </rPh>
    <rPh sb="5" eb="7">
      <t>ソウニュウ</t>
    </rPh>
    <rPh sb="9" eb="10">
      <t>クダ</t>
    </rPh>
    <phoneticPr fontId="4"/>
  </si>
  <si>
    <t>※集計用シートのため記入の必要はありません。</t>
    <rPh sb="1" eb="3">
      <t>シュウケイ</t>
    </rPh>
    <rPh sb="3" eb="4">
      <t>ヨウ</t>
    </rPh>
    <rPh sb="10" eb="12">
      <t>キニュウ</t>
    </rPh>
    <rPh sb="13" eb="15">
      <t>ヒツヨウ</t>
    </rPh>
    <phoneticPr fontId="4"/>
  </si>
  <si>
    <t>※２ 入力の際には１行目の学校名を必ず選択してください。学校名を選択すると下表（空調機設置対象室）に対象室が表示されますので漏れのないよう入力してください。</t>
    <rPh sb="3" eb="5">
      <t>ニュウリョク</t>
    </rPh>
    <rPh sb="6" eb="7">
      <t>サイ</t>
    </rPh>
    <rPh sb="10" eb="12">
      <t>ギョウメ</t>
    </rPh>
    <rPh sb="13" eb="15">
      <t>ガッコウ</t>
    </rPh>
    <rPh sb="15" eb="16">
      <t>メイ</t>
    </rPh>
    <rPh sb="17" eb="18">
      <t>カナラ</t>
    </rPh>
    <rPh sb="19" eb="21">
      <t>センタク</t>
    </rPh>
    <rPh sb="28" eb="30">
      <t>ガッコウ</t>
    </rPh>
    <rPh sb="30" eb="31">
      <t>メイ</t>
    </rPh>
    <rPh sb="32" eb="34">
      <t>センタク</t>
    </rPh>
    <rPh sb="37" eb="39">
      <t>カヒョウ</t>
    </rPh>
    <rPh sb="40" eb="43">
      <t>クウチョウキ</t>
    </rPh>
    <rPh sb="43" eb="45">
      <t>セッチ</t>
    </rPh>
    <rPh sb="45" eb="47">
      <t>タイショウ</t>
    </rPh>
    <rPh sb="47" eb="48">
      <t>シツ</t>
    </rPh>
    <rPh sb="50" eb="52">
      <t>タイショウ</t>
    </rPh>
    <rPh sb="52" eb="53">
      <t>シツ</t>
    </rPh>
    <rPh sb="54" eb="56">
      <t>ヒョウジ</t>
    </rPh>
    <rPh sb="62" eb="63">
      <t>モ</t>
    </rPh>
    <rPh sb="69" eb="71">
      <t>ニュウリョク</t>
    </rPh>
    <phoneticPr fontId="4"/>
  </si>
  <si>
    <t>空調機設置対象室と室用途対応表</t>
    <rPh sb="0" eb="3">
      <t>クウチョウキ</t>
    </rPh>
    <rPh sb="3" eb="5">
      <t>セッチ</t>
    </rPh>
    <rPh sb="5" eb="7">
      <t>タイショウ</t>
    </rPh>
    <rPh sb="7" eb="8">
      <t>シツ</t>
    </rPh>
    <rPh sb="9" eb="10">
      <t>シツ</t>
    </rPh>
    <rPh sb="10" eb="12">
      <t>ヨウト</t>
    </rPh>
    <rPh sb="12" eb="14">
      <t>タイオウ</t>
    </rPh>
    <rPh sb="14" eb="15">
      <t>ヒョウ</t>
    </rPh>
    <phoneticPr fontId="4"/>
  </si>
  <si>
    <t>※８ 様式11-6①～様式11-6⑧は室用途別の集計シート、様式11-6（学校ごとの集計）は学校全体の集計シートとなっています。</t>
    <rPh sb="3" eb="5">
      <t>ヨウシキ</t>
    </rPh>
    <rPh sb="11" eb="13">
      <t>ヨウシキ</t>
    </rPh>
    <rPh sb="19" eb="20">
      <t>シツ</t>
    </rPh>
    <rPh sb="20" eb="22">
      <t>ヨウト</t>
    </rPh>
    <rPh sb="22" eb="23">
      <t>ベツ</t>
    </rPh>
    <rPh sb="24" eb="26">
      <t>シュウケイ</t>
    </rPh>
    <rPh sb="30" eb="32">
      <t>ヨウシキ</t>
    </rPh>
    <rPh sb="37" eb="39">
      <t>ガッコウ</t>
    </rPh>
    <rPh sb="42" eb="44">
      <t>シュウケイ</t>
    </rPh>
    <rPh sb="46" eb="48">
      <t>ガッコウ</t>
    </rPh>
    <rPh sb="48" eb="50">
      <t>ゼンタイ</t>
    </rPh>
    <rPh sb="51" eb="53">
      <t>シュウケイ</t>
    </rPh>
    <phoneticPr fontId="4"/>
  </si>
  <si>
    <t>室用途</t>
    <rPh sb="0" eb="3">
      <t>シツヨウト</t>
    </rPh>
    <phoneticPr fontId="4"/>
  </si>
  <si>
    <t>室用途番号</t>
    <rPh sb="0" eb="1">
      <t>シツ</t>
    </rPh>
    <rPh sb="1" eb="3">
      <t>ヨウト</t>
    </rPh>
    <rPh sb="3" eb="5">
      <t>バンゴウ</t>
    </rPh>
    <phoneticPr fontId="9"/>
  </si>
  <si>
    <t>計算シートで学校名称を選択すると対応する室用途が表示されます</t>
    <rPh sb="0" eb="2">
      <t>ケイサン</t>
    </rPh>
    <rPh sb="6" eb="8">
      <t>ガッコウ</t>
    </rPh>
    <rPh sb="8" eb="10">
      <t>メイショウ</t>
    </rPh>
    <rPh sb="11" eb="13">
      <t>センタク</t>
    </rPh>
    <rPh sb="16" eb="18">
      <t>タイオウ</t>
    </rPh>
    <rPh sb="20" eb="23">
      <t>シツヨウト</t>
    </rPh>
    <rPh sb="24" eb="26">
      <t>ヒョウジ</t>
    </rPh>
    <phoneticPr fontId="4"/>
  </si>
  <si>
    <t>対象学校名称</t>
    <rPh sb="0" eb="2">
      <t>タイショウ</t>
    </rPh>
    <rPh sb="2" eb="4">
      <t>ガッコウ</t>
    </rPh>
    <rPh sb="4" eb="6">
      <t>メイショウ</t>
    </rPh>
    <phoneticPr fontId="4"/>
  </si>
  <si>
    <t>標準月別負荷率に対する掛け率設定</t>
    <rPh sb="0" eb="2">
      <t>ヒョウジュン</t>
    </rPh>
    <rPh sb="2" eb="4">
      <t>ツキベツ</t>
    </rPh>
    <rPh sb="4" eb="7">
      <t>フカリツ</t>
    </rPh>
    <rPh sb="8" eb="9">
      <t>タイ</t>
    </rPh>
    <rPh sb="11" eb="12">
      <t>カ</t>
    </rPh>
    <rPh sb="13" eb="14">
      <t>リツ</t>
    </rPh>
    <rPh sb="14" eb="16">
      <t>セッテイ</t>
    </rPh>
    <phoneticPr fontId="4"/>
  </si>
  <si>
    <t>※黄色のセルの必要箇所に入力して下さい。</t>
    <rPh sb="1" eb="3">
      <t>キイロ</t>
    </rPh>
    <rPh sb="7" eb="9">
      <t>ヒツヨウ</t>
    </rPh>
    <rPh sb="9" eb="11">
      <t>カショ</t>
    </rPh>
    <rPh sb="12" eb="14">
      <t>ニュウリョク</t>
    </rPh>
    <rPh sb="16" eb="17">
      <t>クダ</t>
    </rPh>
    <phoneticPr fontId="4"/>
  </si>
  <si>
    <t>職員室系統</t>
    <rPh sb="0" eb="2">
      <t>ショクイン</t>
    </rPh>
    <rPh sb="2" eb="3">
      <t>シツ</t>
    </rPh>
    <rPh sb="3" eb="5">
      <t>ケイトウ</t>
    </rPh>
    <phoneticPr fontId="4"/>
  </si>
  <si>
    <t>事務室系統</t>
    <rPh sb="0" eb="3">
      <t>ジムシツ</t>
    </rPh>
    <rPh sb="3" eb="5">
      <t>ケイトウ</t>
    </rPh>
    <phoneticPr fontId="4"/>
  </si>
  <si>
    <t>MJ</t>
  </si>
  <si>
    <t>燃料調整単価</t>
    <rPh sb="0" eb="2">
      <t>ネンリョウ</t>
    </rPh>
    <rPh sb="2" eb="4">
      <t>チョウセイ</t>
    </rPh>
    <rPh sb="4" eb="6">
      <t>タンカ</t>
    </rPh>
    <phoneticPr fontId="4"/>
  </si>
  <si>
    <t>③校長室</t>
  </si>
  <si>
    <t>⑥会議室</t>
  </si>
  <si>
    <t>共同実施センター</t>
    <rPh sb="0" eb="2">
      <t>キョウドウ</t>
    </rPh>
    <rPh sb="2" eb="4">
      <t>ジッシ</t>
    </rPh>
    <phoneticPr fontId="2"/>
  </si>
  <si>
    <t>室用途番号</t>
    <rPh sb="3" eb="5">
      <t>バンゴウ</t>
    </rPh>
    <phoneticPr fontId="4"/>
  </si>
  <si>
    <t>対象用途確認</t>
    <rPh sb="0" eb="2">
      <t>タイショウ</t>
    </rPh>
    <rPh sb="2" eb="4">
      <t>ヨウト</t>
    </rPh>
    <rPh sb="4" eb="6">
      <t>カクニン</t>
    </rPh>
    <phoneticPr fontId="4"/>
  </si>
  <si>
    <t>対象の室用途</t>
    <rPh sb="0" eb="2">
      <t>タイショウ</t>
    </rPh>
    <rPh sb="3" eb="6">
      <t>シツヨウト</t>
    </rPh>
    <phoneticPr fontId="4"/>
  </si>
  <si>
    <t>②職員室</t>
    <phoneticPr fontId="4"/>
  </si>
  <si>
    <t>その他
室用途別</t>
    <rPh sb="2" eb="3">
      <t>タ</t>
    </rPh>
    <rPh sb="4" eb="5">
      <t>シツ</t>
    </rPh>
    <rPh sb="5" eb="7">
      <t>ヨウト</t>
    </rPh>
    <rPh sb="7" eb="8">
      <t>ベツ</t>
    </rPh>
    <phoneticPr fontId="4"/>
  </si>
  <si>
    <t>h</t>
    <phoneticPr fontId="4"/>
  </si>
  <si>
    <t>要求水準書記載の室用途分類と対象の室用途</t>
    <rPh sb="0" eb="2">
      <t>ヨウキュウ</t>
    </rPh>
    <rPh sb="2" eb="4">
      <t>スイジュン</t>
    </rPh>
    <rPh sb="4" eb="5">
      <t>ショ</t>
    </rPh>
    <rPh sb="5" eb="7">
      <t>キサイ</t>
    </rPh>
    <rPh sb="8" eb="9">
      <t>シツ</t>
    </rPh>
    <rPh sb="9" eb="11">
      <t>ヨウト</t>
    </rPh>
    <rPh sb="11" eb="13">
      <t>ブンルイ</t>
    </rPh>
    <rPh sb="14" eb="16">
      <t>タイショウ</t>
    </rPh>
    <rPh sb="17" eb="20">
      <t>シツヨウト</t>
    </rPh>
    <phoneticPr fontId="4"/>
  </si>
  <si>
    <t>PC教室</t>
    <rPh sb="2" eb="4">
      <t>キョウシツ</t>
    </rPh>
    <phoneticPr fontId="2"/>
  </si>
  <si>
    <t>図工室</t>
    <rPh sb="0" eb="3">
      <t>ズコウシツ</t>
    </rPh>
    <phoneticPr fontId="2"/>
  </si>
  <si>
    <t>相談1</t>
    <rPh sb="0" eb="2">
      <t>ソウダン</t>
    </rPh>
    <phoneticPr fontId="2"/>
  </si>
  <si>
    <t>相談2</t>
    <rPh sb="0" eb="2">
      <t>ソウダン</t>
    </rPh>
    <phoneticPr fontId="2"/>
  </si>
  <si>
    <t>第一生活科室</t>
    <rPh sb="0" eb="2">
      <t>ダイイチ</t>
    </rPh>
    <rPh sb="2" eb="5">
      <t>セイカツカ</t>
    </rPh>
    <rPh sb="5" eb="6">
      <t>シツ</t>
    </rPh>
    <phoneticPr fontId="2"/>
  </si>
  <si>
    <t>小会議室</t>
    <rPh sb="0" eb="1">
      <t>ショウ</t>
    </rPh>
    <rPh sb="1" eb="4">
      <t>カイギシツ</t>
    </rPh>
    <phoneticPr fontId="2"/>
  </si>
  <si>
    <t>合計</t>
    <rPh sb="0" eb="2">
      <t>ゴウケイ</t>
    </rPh>
    <phoneticPr fontId="4"/>
  </si>
  <si>
    <t>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</si>
</sst>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#,##0_);[Red]\(#,##0\)"/>
    <numFmt numFmtId="178" formatCode="#,##0.00_);[Red]\(#,##0.00\)"/>
    <numFmt numFmtId="179" formatCode="#,##0.0_);[Red]\(#,##0.0\)"/>
    <numFmt numFmtId="180" formatCode="#,##0_ "/>
    <numFmt numFmtId="181" formatCode="#,##0.0_ "/>
    <numFmt numFmtId="182" formatCode="#,##0.00_ "/>
    <numFmt numFmtId="183" formatCode="#,##0.000_ "/>
    <numFmt numFmtId="184" formatCode="0.0"/>
    <numFmt numFmtId="185" formatCode="0.00_ "/>
    <numFmt numFmtId="186" formatCode="#,##0.0;[Red]\-#,##0.0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9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/>
  </cellStyleXfs>
  <cellXfs count="1067">
    <xf numFmtId="0" fontId="0" fillId="0" borderId="0" xfId="0"/>
    <xf numFmtId="0" fontId="12" fillId="0" borderId="0" xfId="9" applyFont="1">
      <alignment vertical="center"/>
    </xf>
    <xf numFmtId="0" fontId="12" fillId="0" borderId="0" xfId="9" applyFont="1" applyAlignment="1">
      <alignment horizontal="center" vertical="center"/>
    </xf>
    <xf numFmtId="0" fontId="12" fillId="0" borderId="0" xfId="9" applyFont="1" applyProtection="1">
      <alignment vertical="center"/>
      <protection locked="0"/>
    </xf>
    <xf numFmtId="0" fontId="8" fillId="0" borderId="0" xfId="9" applyFont="1" applyFill="1" applyProtection="1">
      <alignment vertical="center"/>
      <protection locked="0"/>
    </xf>
    <xf numFmtId="0" fontId="14" fillId="0" borderId="0" xfId="9" applyFont="1" applyFill="1" applyProtection="1">
      <alignment vertical="center"/>
      <protection locked="0"/>
    </xf>
    <xf numFmtId="0" fontId="12" fillId="0" borderId="0" xfId="9" applyFont="1" applyFill="1">
      <alignment vertical="center"/>
    </xf>
    <xf numFmtId="0" fontId="14" fillId="0" borderId="0" xfId="9" applyFont="1" applyFill="1">
      <alignment vertical="center"/>
    </xf>
    <xf numFmtId="0" fontId="14" fillId="0" borderId="0" xfId="9" applyFont="1" applyFill="1" applyAlignment="1">
      <alignment horizontal="center" vertical="center"/>
    </xf>
    <xf numFmtId="0" fontId="8" fillId="0" borderId="0" xfId="9" applyFont="1" applyProtection="1">
      <alignment vertical="center"/>
      <protection locked="0"/>
    </xf>
    <xf numFmtId="0" fontId="13" fillId="0" borderId="0" xfId="9" applyFont="1" applyFill="1">
      <alignment vertical="center"/>
    </xf>
    <xf numFmtId="0" fontId="12" fillId="0" borderId="0" xfId="9" applyFont="1" applyFill="1" applyAlignment="1">
      <alignment horizontal="center" vertical="center"/>
    </xf>
    <xf numFmtId="0" fontId="12" fillId="0" borderId="0" xfId="9" applyFont="1" applyFill="1" applyProtection="1">
      <alignment vertical="center"/>
      <protection locked="0"/>
    </xf>
    <xf numFmtId="179" fontId="14" fillId="0" borderId="1" xfId="10" applyNumberFormat="1" applyFont="1" applyFill="1" applyBorder="1" applyAlignment="1">
      <alignment vertical="center" shrinkToFit="1"/>
    </xf>
    <xf numFmtId="0" fontId="14" fillId="0" borderId="68" xfId="9" applyFont="1" applyFill="1" applyBorder="1" applyAlignment="1">
      <alignment horizontal="center" vertical="center" shrinkToFit="1"/>
    </xf>
    <xf numFmtId="178" fontId="14" fillId="0" borderId="1" xfId="9" applyNumberFormat="1" applyFont="1" applyFill="1" applyBorder="1" applyAlignment="1">
      <alignment vertical="center" shrinkToFit="1"/>
    </xf>
    <xf numFmtId="178" fontId="14" fillId="0" borderId="68" xfId="9" applyNumberFormat="1" applyFont="1" applyFill="1" applyBorder="1" applyAlignment="1">
      <alignment vertical="center" shrinkToFit="1"/>
    </xf>
    <xf numFmtId="0" fontId="12" fillId="0" borderId="0" xfId="9" applyFont="1" applyFill="1" applyAlignment="1" applyProtection="1">
      <alignment horizontal="center" vertical="center"/>
    </xf>
    <xf numFmtId="0" fontId="8" fillId="0" borderId="0" xfId="9" applyFont="1" applyFill="1" applyAlignment="1">
      <alignment horizontal="right" vertical="center"/>
    </xf>
    <xf numFmtId="0" fontId="14" fillId="0" borderId="43" xfId="9" applyFont="1" applyFill="1" applyBorder="1" applyAlignment="1">
      <alignment vertical="center"/>
    </xf>
    <xf numFmtId="0" fontId="14" fillId="0" borderId="31" xfId="9" applyFont="1" applyFill="1" applyBorder="1" applyAlignment="1">
      <alignment vertical="center"/>
    </xf>
    <xf numFmtId="0" fontId="3" fillId="0" borderId="0" xfId="6" applyFont="1" applyFill="1" applyAlignment="1">
      <alignment vertical="center"/>
    </xf>
    <xf numFmtId="0" fontId="15" fillId="0" borderId="104" xfId="9" applyFont="1" applyFill="1" applyBorder="1">
      <alignment vertical="center"/>
    </xf>
    <xf numFmtId="0" fontId="15" fillId="0" borderId="14" xfId="9" applyFont="1" applyFill="1" applyBorder="1">
      <alignment vertical="center"/>
    </xf>
    <xf numFmtId="0" fontId="15" fillId="0" borderId="8" xfId="9" applyFont="1" applyFill="1" applyBorder="1">
      <alignment vertical="center"/>
    </xf>
    <xf numFmtId="0" fontId="15" fillId="0" borderId="116" xfId="9" applyFont="1" applyFill="1" applyBorder="1">
      <alignment vertical="center"/>
    </xf>
    <xf numFmtId="0" fontId="13" fillId="0" borderId="116" xfId="9" applyFont="1" applyFill="1" applyBorder="1">
      <alignment vertical="center"/>
    </xf>
    <xf numFmtId="180" fontId="15" fillId="0" borderId="116" xfId="9" applyNumberFormat="1" applyFont="1" applyFill="1" applyBorder="1" applyAlignment="1">
      <alignment vertical="center"/>
    </xf>
    <xf numFmtId="0" fontId="15" fillId="0" borderId="89" xfId="9" applyFont="1" applyFill="1" applyBorder="1">
      <alignment vertical="center"/>
    </xf>
    <xf numFmtId="0" fontId="13" fillId="0" borderId="89" xfId="9" applyFont="1" applyFill="1" applyBorder="1">
      <alignment vertical="center"/>
    </xf>
    <xf numFmtId="0" fontId="15" fillId="0" borderId="0" xfId="9" applyFont="1" applyFill="1" applyBorder="1">
      <alignment vertical="center"/>
    </xf>
    <xf numFmtId="182" fontId="15" fillId="0" borderId="0" xfId="9" applyNumberFormat="1" applyFont="1" applyFill="1" applyBorder="1" applyAlignment="1">
      <alignment horizontal="right" vertical="center"/>
    </xf>
    <xf numFmtId="0" fontId="13" fillId="0" borderId="8" xfId="9" applyFont="1" applyFill="1" applyBorder="1">
      <alignment vertical="center"/>
    </xf>
    <xf numFmtId="182" fontId="15" fillId="0" borderId="8" xfId="9" applyNumberFormat="1" applyFont="1" applyFill="1" applyBorder="1" applyAlignment="1">
      <alignment vertical="center" shrinkToFit="1"/>
    </xf>
    <xf numFmtId="182" fontId="15" fillId="0" borderId="70" xfId="9" applyNumberFormat="1" applyFont="1" applyFill="1" applyBorder="1" applyAlignment="1">
      <alignment horizontal="right" vertical="center"/>
    </xf>
    <xf numFmtId="182" fontId="15" fillId="0" borderId="0" xfId="9" applyNumberFormat="1" applyFont="1" applyFill="1" applyBorder="1" applyAlignment="1">
      <alignment vertical="center" shrinkToFit="1"/>
    </xf>
    <xf numFmtId="2" fontId="15" fillId="0" borderId="89" xfId="9" applyNumberFormat="1" applyFont="1" applyFill="1" applyBorder="1">
      <alignment vertical="center"/>
    </xf>
    <xf numFmtId="180" fontId="15" fillId="0" borderId="89" xfId="9" applyNumberFormat="1" applyFont="1" applyFill="1" applyBorder="1" applyAlignment="1">
      <alignment horizontal="right" vertical="center"/>
    </xf>
    <xf numFmtId="182" fontId="15" fillId="0" borderId="14" xfId="9" applyNumberFormat="1" applyFont="1" applyFill="1" applyBorder="1" applyAlignment="1">
      <alignment horizontal="right" vertical="center"/>
    </xf>
    <xf numFmtId="0" fontId="15" fillId="0" borderId="102" xfId="9" applyFont="1" applyFill="1" applyBorder="1" applyAlignment="1">
      <alignment horizontal="center" vertical="center" wrapText="1"/>
    </xf>
    <xf numFmtId="180" fontId="15" fillId="0" borderId="102" xfId="9" applyNumberFormat="1" applyFont="1" applyFill="1" applyBorder="1" applyAlignment="1">
      <alignment vertical="center"/>
    </xf>
    <xf numFmtId="0" fontId="13" fillId="0" borderId="102" xfId="9" applyFont="1" applyFill="1" applyBorder="1">
      <alignment vertical="center"/>
    </xf>
    <xf numFmtId="0" fontId="15" fillId="0" borderId="102" xfId="9" applyFont="1" applyFill="1" applyBorder="1">
      <alignment vertical="center"/>
    </xf>
    <xf numFmtId="184" fontId="15" fillId="0" borderId="102" xfId="9" applyNumberFormat="1" applyFont="1" applyFill="1" applyBorder="1" applyAlignment="1">
      <alignment vertical="center"/>
    </xf>
    <xf numFmtId="183" fontId="15" fillId="0" borderId="102" xfId="9" applyNumberFormat="1" applyFont="1" applyFill="1" applyBorder="1" applyAlignment="1">
      <alignment horizontal="center" vertical="center"/>
    </xf>
    <xf numFmtId="0" fontId="15" fillId="0" borderId="28" xfId="9" applyFont="1" applyFill="1" applyBorder="1" applyAlignment="1">
      <alignment horizontal="center" vertical="center" wrapText="1"/>
    </xf>
    <xf numFmtId="180" fontId="15" fillId="0" borderId="28" xfId="9" applyNumberFormat="1" applyFont="1" applyFill="1" applyBorder="1" applyAlignment="1">
      <alignment vertical="center"/>
    </xf>
    <xf numFmtId="0" fontId="13" fillId="0" borderId="28" xfId="9" applyFont="1" applyFill="1" applyBorder="1">
      <alignment vertical="center"/>
    </xf>
    <xf numFmtId="0" fontId="15" fillId="0" borderId="28" xfId="9" applyFont="1" applyFill="1" applyBorder="1">
      <alignment vertical="center"/>
    </xf>
    <xf numFmtId="184" fontId="15" fillId="0" borderId="28" xfId="9" applyNumberFormat="1" applyFont="1" applyFill="1" applyBorder="1" applyAlignment="1">
      <alignment vertical="center"/>
    </xf>
    <xf numFmtId="183" fontId="15" fillId="0" borderId="28" xfId="9" applyNumberFormat="1" applyFont="1" applyFill="1" applyBorder="1" applyAlignment="1">
      <alignment horizontal="center" vertical="center"/>
    </xf>
    <xf numFmtId="0" fontId="13" fillId="0" borderId="0" xfId="9" applyFont="1" applyFill="1" applyBorder="1">
      <alignment vertical="center"/>
    </xf>
    <xf numFmtId="177" fontId="15" fillId="0" borderId="0" xfId="9" applyNumberFormat="1" applyFont="1" applyFill="1" applyBorder="1" applyAlignment="1">
      <alignment horizontal="center" vertical="center"/>
    </xf>
    <xf numFmtId="184" fontId="15" fillId="0" borderId="89" xfId="9" applyNumberFormat="1" applyFont="1" applyFill="1" applyBorder="1" applyAlignment="1">
      <alignment vertical="center"/>
    </xf>
    <xf numFmtId="0" fontId="15" fillId="0" borderId="89" xfId="9" applyFont="1" applyFill="1" applyBorder="1" applyAlignment="1">
      <alignment horizontal="center" vertical="center"/>
    </xf>
    <xf numFmtId="181" fontId="14" fillId="0" borderId="1" xfId="9" applyNumberFormat="1" applyFont="1" applyFill="1" applyBorder="1" applyAlignment="1">
      <alignment vertical="center" shrinkToFit="1"/>
    </xf>
    <xf numFmtId="179" fontId="14" fillId="0" borderId="1" xfId="9" applyNumberFormat="1" applyFont="1" applyFill="1" applyBorder="1" applyAlignment="1">
      <alignment vertical="center" shrinkToFit="1"/>
    </xf>
    <xf numFmtId="178" fontId="14" fillId="0" borderId="7" xfId="9" applyNumberFormat="1" applyFont="1" applyFill="1" applyBorder="1" applyAlignment="1">
      <alignment vertical="center" shrinkToFit="1"/>
    </xf>
    <xf numFmtId="178" fontId="14" fillId="0" borderId="69" xfId="9" applyNumberFormat="1" applyFont="1" applyFill="1" applyBorder="1" applyAlignment="1">
      <alignment vertical="center" shrinkToFit="1"/>
    </xf>
    <xf numFmtId="0" fontId="14" fillId="0" borderId="43" xfId="9" applyFont="1" applyFill="1" applyBorder="1" applyAlignment="1">
      <alignment vertical="center" shrinkToFit="1"/>
    </xf>
    <xf numFmtId="2" fontId="14" fillId="0" borderId="37" xfId="10" applyNumberFormat="1" applyFont="1" applyFill="1" applyBorder="1" applyAlignment="1">
      <alignment vertical="center" shrinkToFit="1"/>
    </xf>
    <xf numFmtId="177" fontId="14" fillId="0" borderId="37" xfId="10" applyNumberFormat="1" applyFont="1" applyFill="1" applyBorder="1" applyAlignment="1">
      <alignment vertical="center" shrinkToFit="1"/>
    </xf>
    <xf numFmtId="0" fontId="14" fillId="0" borderId="70" xfId="9" applyFont="1" applyFill="1" applyBorder="1" applyAlignment="1">
      <alignment vertical="center" shrinkToFit="1"/>
    </xf>
    <xf numFmtId="2" fontId="14" fillId="0" borderId="50" xfId="10" applyNumberFormat="1" applyFont="1" applyFill="1" applyBorder="1" applyAlignment="1">
      <alignment vertical="center" shrinkToFit="1"/>
    </xf>
    <xf numFmtId="180" fontId="14" fillId="0" borderId="70" xfId="9" applyNumberFormat="1" applyFont="1" applyFill="1" applyBorder="1" applyAlignment="1">
      <alignment vertical="center" shrinkToFit="1"/>
    </xf>
    <xf numFmtId="180" fontId="14" fillId="0" borderId="50" xfId="9" applyNumberFormat="1" applyFont="1" applyFill="1" applyBorder="1" applyAlignment="1">
      <alignment vertical="center" shrinkToFit="1"/>
    </xf>
    <xf numFmtId="177" fontId="14" fillId="0" borderId="50" xfId="10" applyNumberFormat="1" applyFont="1" applyFill="1" applyBorder="1" applyAlignment="1">
      <alignment vertical="center" shrinkToFit="1"/>
    </xf>
    <xf numFmtId="181" fontId="14" fillId="0" borderId="68" xfId="9" applyNumberFormat="1" applyFont="1" applyFill="1" applyBorder="1" applyAlignment="1">
      <alignment vertical="center" shrinkToFit="1"/>
    </xf>
    <xf numFmtId="180" fontId="14" fillId="0" borderId="68" xfId="9" applyNumberFormat="1" applyFont="1" applyFill="1" applyBorder="1" applyAlignment="1">
      <alignment vertical="center" shrinkToFit="1"/>
    </xf>
    <xf numFmtId="177" fontId="14" fillId="0" borderId="1" xfId="10" applyNumberFormat="1" applyFont="1" applyFill="1" applyBorder="1" applyAlignment="1">
      <alignment vertical="center" shrinkToFit="1"/>
    </xf>
    <xf numFmtId="180" fontId="14" fillId="0" borderId="68" xfId="9" applyNumberFormat="1" applyFont="1" applyFill="1" applyBorder="1" applyAlignment="1">
      <alignment horizontal="center" vertical="center" shrinkToFit="1"/>
    </xf>
    <xf numFmtId="177" fontId="14" fillId="0" borderId="67" xfId="10" applyNumberFormat="1" applyFont="1" applyFill="1" applyBorder="1" applyAlignment="1">
      <alignment vertical="center" shrinkToFit="1"/>
    </xf>
    <xf numFmtId="0" fontId="14" fillId="0" borderId="99" xfId="9" applyFont="1" applyFill="1" applyBorder="1" applyAlignment="1">
      <alignment vertical="center" shrinkToFit="1"/>
    </xf>
    <xf numFmtId="2" fontId="14" fillId="0" borderId="59" xfId="10" applyNumberFormat="1" applyFont="1" applyFill="1" applyBorder="1" applyAlignment="1">
      <alignment vertical="center" shrinkToFit="1"/>
    </xf>
    <xf numFmtId="180" fontId="14" fillId="0" borderId="105" xfId="9" applyNumberFormat="1" applyFont="1" applyFill="1" applyBorder="1" applyAlignment="1">
      <alignment vertical="center" shrinkToFit="1"/>
    </xf>
    <xf numFmtId="180" fontId="14" fillId="0" borderId="60" xfId="9" applyNumberFormat="1" applyFont="1" applyFill="1" applyBorder="1" applyAlignment="1">
      <alignment vertical="center" shrinkToFit="1"/>
    </xf>
    <xf numFmtId="177" fontId="14" fillId="0" borderId="59" xfId="10" applyNumberFormat="1" applyFont="1" applyFill="1" applyBorder="1" applyAlignment="1">
      <alignment vertical="center" shrinkToFit="1"/>
    </xf>
    <xf numFmtId="181" fontId="14" fillId="0" borderId="124" xfId="9" applyNumberFormat="1" applyFont="1" applyFill="1" applyBorder="1" applyAlignment="1">
      <alignment vertical="center" shrinkToFit="1"/>
    </xf>
    <xf numFmtId="179" fontId="14" fillId="0" borderId="30" xfId="10" applyNumberFormat="1" applyFont="1" applyFill="1" applyBorder="1" applyAlignment="1">
      <alignment vertical="center" shrinkToFit="1"/>
    </xf>
    <xf numFmtId="180" fontId="14" fillId="0" borderId="124" xfId="9" applyNumberFormat="1" applyFont="1" applyFill="1" applyBorder="1" applyAlignment="1">
      <alignment vertical="center" shrinkToFit="1"/>
    </xf>
    <xf numFmtId="177" fontId="14" fillId="0" borderId="30" xfId="10" applyNumberFormat="1" applyFont="1" applyFill="1" applyBorder="1" applyAlignment="1">
      <alignment vertical="center" shrinkToFit="1"/>
    </xf>
    <xf numFmtId="178" fontId="14" fillId="0" borderId="27" xfId="9" applyNumberFormat="1" applyFont="1" applyFill="1" applyBorder="1" applyAlignment="1">
      <alignment vertical="center" shrinkToFit="1"/>
    </xf>
    <xf numFmtId="178" fontId="14" fillId="0" borderId="29" xfId="9" applyNumberFormat="1" applyFont="1" applyFill="1" applyBorder="1" applyAlignment="1">
      <alignment vertical="center" shrinkToFit="1"/>
    </xf>
    <xf numFmtId="178" fontId="14" fillId="0" borderId="124" xfId="9" applyNumberFormat="1" applyFont="1" applyFill="1" applyBorder="1" applyAlignment="1">
      <alignment vertical="center" shrinkToFit="1"/>
    </xf>
    <xf numFmtId="178" fontId="14" fillId="0" borderId="30" xfId="9" applyNumberFormat="1" applyFont="1" applyFill="1" applyBorder="1" applyAlignment="1">
      <alignment vertical="center" shrinkToFit="1"/>
    </xf>
    <xf numFmtId="180" fontId="14" fillId="0" borderId="124" xfId="9" applyNumberFormat="1" applyFont="1" applyFill="1" applyBorder="1" applyAlignment="1">
      <alignment horizontal="center" vertical="center" shrinkToFit="1"/>
    </xf>
    <xf numFmtId="179" fontId="14" fillId="0" borderId="30" xfId="9" applyNumberFormat="1" applyFont="1" applyFill="1" applyBorder="1" applyAlignment="1">
      <alignment vertical="center" shrinkToFit="1"/>
    </xf>
    <xf numFmtId="177" fontId="14" fillId="0" borderId="163" xfId="10" applyNumberFormat="1" applyFont="1" applyFill="1" applyBorder="1" applyAlignment="1">
      <alignment vertical="center" shrinkToFit="1"/>
    </xf>
    <xf numFmtId="181" fontId="14" fillId="0" borderId="1" xfId="10" applyNumberFormat="1" applyFont="1" applyFill="1" applyBorder="1" applyAlignment="1">
      <alignment vertical="center" shrinkToFit="1"/>
    </xf>
    <xf numFmtId="0" fontId="11" fillId="0" borderId="0" xfId="9" applyFill="1">
      <alignment vertical="center"/>
    </xf>
    <xf numFmtId="2" fontId="14" fillId="0" borderId="68" xfId="9" applyNumberFormat="1" applyFont="1" applyFill="1" applyBorder="1" applyAlignment="1">
      <alignment vertical="center" shrinkToFit="1"/>
    </xf>
    <xf numFmtId="0" fontId="14" fillId="0" borderId="67" xfId="9" applyFont="1" applyFill="1" applyBorder="1" applyAlignment="1">
      <alignment vertical="center" shrinkToFit="1"/>
    </xf>
    <xf numFmtId="181" fontId="14" fillId="0" borderId="30" xfId="9" applyNumberFormat="1" applyFont="1" applyFill="1" applyBorder="1" applyAlignment="1">
      <alignment vertical="center" shrinkToFit="1"/>
    </xf>
    <xf numFmtId="2" fontId="14" fillId="0" borderId="124" xfId="9" applyNumberFormat="1" applyFont="1" applyFill="1" applyBorder="1" applyAlignment="1">
      <alignment vertical="center" shrinkToFit="1"/>
    </xf>
    <xf numFmtId="0" fontId="14" fillId="0" borderId="163" xfId="9" applyFont="1" applyFill="1" applyBorder="1" applyAlignment="1">
      <alignment vertical="center" shrinkToFit="1"/>
    </xf>
    <xf numFmtId="0" fontId="14" fillId="0" borderId="50" xfId="9" applyFont="1" applyFill="1" applyBorder="1" applyAlignment="1">
      <alignment vertical="center" shrinkToFit="1"/>
    </xf>
    <xf numFmtId="178" fontId="14" fillId="0" borderId="50" xfId="10" applyNumberFormat="1" applyFont="1" applyFill="1" applyBorder="1" applyAlignment="1">
      <alignment vertical="center" shrinkToFit="1"/>
    </xf>
    <xf numFmtId="2" fontId="14" fillId="0" borderId="70" xfId="9" applyNumberFormat="1" applyFont="1" applyFill="1" applyBorder="1" applyAlignment="1">
      <alignment vertical="center" shrinkToFit="1"/>
    </xf>
    <xf numFmtId="178" fontId="14" fillId="0" borderId="70" xfId="9" applyNumberFormat="1" applyFont="1" applyFill="1" applyBorder="1" applyAlignment="1">
      <alignment vertical="center" shrinkToFit="1"/>
    </xf>
    <xf numFmtId="180" fontId="14" fillId="0" borderId="70" xfId="9" applyNumberFormat="1" applyFont="1" applyFill="1" applyBorder="1" applyAlignment="1">
      <alignment horizontal="center" vertical="center" shrinkToFit="1"/>
    </xf>
    <xf numFmtId="0" fontId="14" fillId="0" borderId="9" xfId="9" applyFont="1" applyFill="1" applyBorder="1" applyAlignment="1">
      <alignment vertical="center" shrinkToFit="1"/>
    </xf>
    <xf numFmtId="0" fontId="14" fillId="0" borderId="96" xfId="9" applyFont="1" applyFill="1" applyBorder="1" applyAlignment="1">
      <alignment vertical="center" shrinkToFit="1"/>
    </xf>
    <xf numFmtId="178" fontId="14" fillId="0" borderId="3" xfId="10" applyNumberFormat="1" applyFont="1" applyFill="1" applyBorder="1" applyAlignment="1">
      <alignment vertical="center" shrinkToFit="1"/>
    </xf>
    <xf numFmtId="180" fontId="14" fillId="0" borderId="96" xfId="9" applyNumberFormat="1" applyFont="1" applyFill="1" applyBorder="1" applyAlignment="1">
      <alignment vertical="center" shrinkToFit="1"/>
    </xf>
    <xf numFmtId="0" fontId="14" fillId="0" borderId="3" xfId="9" applyFont="1" applyFill="1" applyBorder="1" applyAlignment="1">
      <alignment vertical="center" shrinkToFit="1"/>
    </xf>
    <xf numFmtId="0" fontId="14" fillId="0" borderId="171" xfId="9" applyFont="1" applyFill="1" applyBorder="1" applyAlignment="1">
      <alignment horizontal="center" vertical="center" shrinkToFit="1"/>
    </xf>
    <xf numFmtId="177" fontId="14" fillId="0" borderId="3" xfId="10" applyNumberFormat="1" applyFont="1" applyFill="1" applyBorder="1" applyAlignment="1">
      <alignment vertical="center" shrinkToFit="1"/>
    </xf>
    <xf numFmtId="0" fontId="14" fillId="0" borderId="172" xfId="9" applyFont="1" applyFill="1" applyBorder="1" applyAlignment="1">
      <alignment vertical="center" shrinkToFit="1"/>
    </xf>
    <xf numFmtId="179" fontId="14" fillId="0" borderId="173" xfId="10" applyNumberFormat="1" applyFont="1" applyFill="1" applyBorder="1" applyAlignment="1">
      <alignment vertical="center" shrinkToFit="1"/>
    </xf>
    <xf numFmtId="0" fontId="14" fillId="0" borderId="173" xfId="9" applyFont="1" applyFill="1" applyBorder="1" applyAlignment="1">
      <alignment vertical="center" shrinkToFit="1"/>
    </xf>
    <xf numFmtId="2" fontId="14" fillId="0" borderId="172" xfId="9" applyNumberFormat="1" applyFont="1" applyFill="1" applyBorder="1" applyAlignment="1">
      <alignment vertical="center" shrinkToFit="1"/>
    </xf>
    <xf numFmtId="177" fontId="14" fillId="0" borderId="173" xfId="10" applyNumberFormat="1" applyFont="1" applyFill="1" applyBorder="1" applyAlignment="1">
      <alignment vertical="center" shrinkToFit="1"/>
    </xf>
    <xf numFmtId="178" fontId="14" fillId="0" borderId="173" xfId="9" applyNumberFormat="1" applyFont="1" applyFill="1" applyBorder="1" applyAlignment="1">
      <alignment vertical="center" shrinkToFit="1"/>
    </xf>
    <xf numFmtId="178" fontId="14" fillId="0" borderId="172" xfId="9" applyNumberFormat="1" applyFont="1" applyFill="1" applyBorder="1" applyAlignment="1">
      <alignment vertical="center" shrinkToFit="1"/>
    </xf>
    <xf numFmtId="180" fontId="14" fillId="0" borderId="172" xfId="9" applyNumberFormat="1" applyFont="1" applyFill="1" applyBorder="1" applyAlignment="1">
      <alignment horizontal="center" vertical="center" shrinkToFit="1"/>
    </xf>
    <xf numFmtId="179" fontId="14" fillId="0" borderId="173" xfId="9" applyNumberFormat="1" applyFont="1" applyFill="1" applyBorder="1" applyAlignment="1">
      <alignment vertical="center" shrinkToFit="1"/>
    </xf>
    <xf numFmtId="177" fontId="14" fillId="0" borderId="2" xfId="10" applyNumberFormat="1" applyFont="1" applyFill="1" applyBorder="1" applyAlignment="1">
      <alignment vertical="center" shrinkToFit="1"/>
    </xf>
    <xf numFmtId="178" fontId="14" fillId="0" borderId="0" xfId="10" applyNumberFormat="1" applyFont="1" applyFill="1" applyBorder="1" applyAlignment="1">
      <alignment vertical="center" shrinkToFit="1"/>
    </xf>
    <xf numFmtId="180" fontId="14" fillId="0" borderId="0" xfId="9" applyNumberFormat="1" applyFont="1" applyFill="1" applyBorder="1" applyAlignment="1">
      <alignment vertical="center" shrinkToFit="1"/>
    </xf>
    <xf numFmtId="0" fontId="14" fillId="0" borderId="0" xfId="9" applyFont="1" applyFill="1" applyBorder="1" applyAlignment="1">
      <alignment horizontal="center" vertical="center" shrinkToFit="1"/>
    </xf>
    <xf numFmtId="177" fontId="14" fillId="0" borderId="0" xfId="10" applyNumberFormat="1" applyFont="1" applyFill="1" applyBorder="1" applyAlignment="1">
      <alignment vertical="center" shrinkToFit="1"/>
    </xf>
    <xf numFmtId="179" fontId="14" fillId="0" borderId="0" xfId="10" applyNumberFormat="1" applyFont="1" applyFill="1" applyBorder="1" applyAlignment="1">
      <alignment vertical="center" shrinkToFit="1"/>
    </xf>
    <xf numFmtId="2" fontId="14" fillId="0" borderId="0" xfId="9" applyNumberFormat="1" applyFont="1" applyFill="1" applyBorder="1" applyAlignment="1">
      <alignment vertical="center" shrinkToFit="1"/>
    </xf>
    <xf numFmtId="178" fontId="14" fillId="0" borderId="0" xfId="9" applyNumberFormat="1" applyFont="1" applyFill="1" applyBorder="1" applyAlignment="1">
      <alignment vertical="center" shrinkToFit="1"/>
    </xf>
    <xf numFmtId="180" fontId="14" fillId="0" borderId="0" xfId="9" applyNumberFormat="1" applyFont="1" applyFill="1" applyBorder="1" applyAlignment="1">
      <alignment horizontal="center" vertical="center" shrinkToFit="1"/>
    </xf>
    <xf numFmtId="179" fontId="14" fillId="0" borderId="0" xfId="9" applyNumberFormat="1" applyFont="1" applyFill="1" applyBorder="1" applyAlignment="1">
      <alignment vertical="center" shrinkToFit="1"/>
    </xf>
    <xf numFmtId="0" fontId="12" fillId="0" borderId="0" xfId="9" applyFont="1" applyFill="1" applyAlignment="1" applyProtection="1">
      <alignment horizontal="center" vertical="center"/>
      <protection locked="0"/>
    </xf>
    <xf numFmtId="0" fontId="14" fillId="0" borderId="0" xfId="9" applyFont="1" applyFill="1" applyAlignment="1" applyProtection="1">
      <alignment horizontal="center" vertical="center"/>
      <protection locked="0"/>
    </xf>
    <xf numFmtId="0" fontId="20" fillId="0" borderId="0" xfId="9" applyFont="1" applyFill="1" applyProtection="1">
      <alignment vertical="center"/>
      <protection locked="0"/>
    </xf>
    <xf numFmtId="0" fontId="20" fillId="0" borderId="0" xfId="9" applyFont="1" applyFill="1" applyAlignment="1" applyProtection="1">
      <alignment horizontal="left" vertical="center"/>
      <protection locked="0"/>
    </xf>
    <xf numFmtId="0" fontId="24" fillId="0" borderId="31" xfId="9" applyFont="1" applyFill="1" applyBorder="1" applyAlignment="1" applyProtection="1">
      <alignment horizontal="center" vertical="center"/>
      <protection locked="0"/>
    </xf>
    <xf numFmtId="0" fontId="20" fillId="0" borderId="31" xfId="9" applyFont="1" applyFill="1" applyBorder="1" applyAlignment="1" applyProtection="1">
      <alignment horizontal="center" vertical="center" wrapText="1"/>
      <protection locked="0"/>
    </xf>
    <xf numFmtId="0" fontId="20" fillId="0" borderId="31" xfId="9" applyFont="1" applyBorder="1" applyProtection="1">
      <alignment vertical="center"/>
      <protection locked="0"/>
    </xf>
    <xf numFmtId="0" fontId="20" fillId="0" borderId="32" xfId="9" applyFont="1" applyBorder="1">
      <alignment vertical="center"/>
    </xf>
    <xf numFmtId="0" fontId="20" fillId="0" borderId="31" xfId="9" applyFont="1" applyFill="1" applyBorder="1" applyAlignment="1" applyProtection="1">
      <alignment horizontal="center" vertical="center"/>
      <protection locked="0"/>
    </xf>
    <xf numFmtId="0" fontId="20" fillId="0" borderId="31" xfId="9" applyFont="1" applyBorder="1" applyAlignment="1" applyProtection="1">
      <alignment horizontal="center" vertical="center" wrapText="1"/>
      <protection locked="0"/>
    </xf>
    <xf numFmtId="0" fontId="20" fillId="0" borderId="0" xfId="9" applyFont="1">
      <alignment vertical="center"/>
    </xf>
    <xf numFmtId="0" fontId="12" fillId="0" borderId="31" xfId="9" applyFont="1" applyFill="1" applyBorder="1">
      <alignment vertical="center"/>
    </xf>
    <xf numFmtId="0" fontId="22" fillId="0" borderId="0" xfId="9" applyFont="1" applyFill="1">
      <alignment vertical="center"/>
    </xf>
    <xf numFmtId="0" fontId="8" fillId="0" borderId="0" xfId="9" applyFont="1" applyFill="1">
      <alignment vertical="center"/>
    </xf>
    <xf numFmtId="0" fontId="0" fillId="0" borderId="0" xfId="6" applyFont="1" applyFill="1" applyAlignment="1">
      <alignment vertical="center"/>
    </xf>
    <xf numFmtId="0" fontId="14" fillId="0" borderId="40" xfId="9" applyFont="1" applyFill="1" applyBorder="1" applyAlignment="1">
      <alignment horizontal="center" vertical="center"/>
    </xf>
    <xf numFmtId="0" fontId="12" fillId="0" borderId="40" xfId="9" applyFont="1" applyFill="1" applyBorder="1" applyAlignment="1">
      <alignment horizontal="left" vertical="center" indent="1"/>
    </xf>
    <xf numFmtId="0" fontId="16" fillId="0" borderId="0" xfId="9" applyFont="1" applyFill="1">
      <alignment vertical="center"/>
    </xf>
    <xf numFmtId="0" fontId="10" fillId="0" borderId="0" xfId="6" applyFont="1" applyFill="1" applyAlignment="1">
      <alignment vertical="center"/>
    </xf>
    <xf numFmtId="0" fontId="21" fillId="0" borderId="0" xfId="9" applyFont="1" applyFill="1">
      <alignment vertical="center"/>
    </xf>
    <xf numFmtId="0" fontId="15" fillId="0" borderId="76" xfId="9" applyFont="1" applyFill="1" applyBorder="1">
      <alignment vertical="center"/>
    </xf>
    <xf numFmtId="0" fontId="15" fillId="0" borderId="78" xfId="9" applyFont="1" applyFill="1" applyBorder="1">
      <alignment vertical="center"/>
    </xf>
    <xf numFmtId="0" fontId="20" fillId="0" borderId="8" xfId="9" applyFont="1" applyFill="1" applyBorder="1" applyAlignment="1">
      <alignment horizontal="center" vertical="center"/>
    </xf>
    <xf numFmtId="2" fontId="14" fillId="0" borderId="8" xfId="9" applyNumberFormat="1" applyFont="1" applyFill="1" applyBorder="1">
      <alignment vertical="center"/>
    </xf>
    <xf numFmtId="0" fontId="14" fillId="0" borderId="8" xfId="9" applyFont="1" applyFill="1" applyBorder="1">
      <alignment vertical="center"/>
    </xf>
    <xf numFmtId="0" fontId="12" fillId="0" borderId="8" xfId="9" applyFont="1" applyFill="1" applyBorder="1">
      <alignment vertical="center"/>
    </xf>
    <xf numFmtId="0" fontId="15" fillId="0" borderId="51" xfId="9" applyFont="1" applyFill="1" applyBorder="1" applyAlignment="1">
      <alignment vertical="center" shrinkToFit="1"/>
    </xf>
    <xf numFmtId="0" fontId="15" fillId="0" borderId="43" xfId="9" applyFont="1" applyFill="1" applyBorder="1" applyAlignment="1">
      <alignment vertical="center"/>
    </xf>
    <xf numFmtId="0" fontId="15" fillId="0" borderId="0" xfId="9" applyFont="1" applyFill="1" applyBorder="1" applyAlignment="1">
      <alignment vertical="center"/>
    </xf>
    <xf numFmtId="0" fontId="15" fillId="0" borderId="14" xfId="9" applyFont="1" applyFill="1" applyBorder="1" applyAlignment="1">
      <alignment vertical="center"/>
    </xf>
    <xf numFmtId="0" fontId="15" fillId="0" borderId="83" xfId="9" applyFont="1" applyFill="1" applyBorder="1" applyAlignment="1">
      <alignment vertical="center"/>
    </xf>
    <xf numFmtId="40" fontId="19" fillId="0" borderId="0" xfId="6" applyNumberFormat="1" applyFont="1" applyFill="1" applyBorder="1" applyAlignment="1">
      <alignment horizontal="right" vertical="center"/>
    </xf>
    <xf numFmtId="0" fontId="1" fillId="0" borderId="0" xfId="17" applyFill="1" applyBorder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left" vertical="center"/>
    </xf>
    <xf numFmtId="0" fontId="12" fillId="0" borderId="0" xfId="9" applyFont="1" applyFill="1" applyBorder="1">
      <alignment vertical="center"/>
    </xf>
    <xf numFmtId="0" fontId="15" fillId="0" borderId="0" xfId="9" applyFont="1" applyFill="1" applyBorder="1" applyAlignment="1">
      <alignment vertical="center" shrinkToFit="1"/>
    </xf>
    <xf numFmtId="0" fontId="15" fillId="0" borderId="66" xfId="9" applyFont="1" applyFill="1" applyBorder="1">
      <alignment vertical="center"/>
    </xf>
    <xf numFmtId="0" fontId="15" fillId="0" borderId="77" xfId="9" applyFont="1" applyFill="1" applyBorder="1">
      <alignment vertical="center"/>
    </xf>
    <xf numFmtId="0" fontId="15" fillId="0" borderId="116" xfId="9" applyFont="1" applyFill="1" applyBorder="1" applyAlignment="1">
      <alignment horizontal="right" vertical="center"/>
    </xf>
    <xf numFmtId="177" fontId="15" fillId="0" borderId="116" xfId="9" applyNumberFormat="1" applyFont="1" applyFill="1" applyBorder="1" applyAlignment="1">
      <alignment vertical="center"/>
    </xf>
    <xf numFmtId="0" fontId="15" fillId="0" borderId="116" xfId="9" applyFont="1" applyFill="1" applyBorder="1" applyAlignment="1">
      <alignment vertical="center" shrinkToFit="1"/>
    </xf>
    <xf numFmtId="38" fontId="15" fillId="0" borderId="116" xfId="15" applyFont="1" applyFill="1" applyBorder="1" applyAlignment="1">
      <alignment vertical="center"/>
    </xf>
    <xf numFmtId="0" fontId="15" fillId="0" borderId="116" xfId="9" applyFont="1" applyFill="1" applyBorder="1" applyAlignment="1">
      <alignment vertical="center"/>
    </xf>
    <xf numFmtId="0" fontId="15" fillId="0" borderId="109" xfId="9" applyFont="1" applyFill="1" applyBorder="1">
      <alignment vertical="center"/>
    </xf>
    <xf numFmtId="0" fontId="15" fillId="0" borderId="83" xfId="9" applyFont="1" applyFill="1" applyBorder="1">
      <alignment vertical="center"/>
    </xf>
    <xf numFmtId="0" fontId="15" fillId="0" borderId="14" xfId="9" applyFont="1" applyFill="1" applyBorder="1" applyAlignment="1">
      <alignment horizontal="center" vertical="center"/>
    </xf>
    <xf numFmtId="176" fontId="23" fillId="0" borderId="14" xfId="9" applyNumberFormat="1" applyFont="1" applyFill="1" applyBorder="1" applyAlignment="1">
      <alignment vertical="center" shrinkToFit="1"/>
    </xf>
    <xf numFmtId="177" fontId="15" fillId="0" borderId="14" xfId="9" applyNumberFormat="1" applyFont="1" applyFill="1" applyBorder="1" applyAlignment="1">
      <alignment vertical="center"/>
    </xf>
    <xf numFmtId="0" fontId="1" fillId="0" borderId="0" xfId="17" applyFill="1">
      <alignment vertical="center"/>
    </xf>
    <xf numFmtId="0" fontId="19" fillId="0" borderId="0" xfId="6" applyFont="1" applyFill="1" applyAlignment="1">
      <alignment horizontal="center" vertical="center"/>
    </xf>
    <xf numFmtId="0" fontId="15" fillId="0" borderId="102" xfId="9" applyFont="1" applyFill="1" applyBorder="1" applyAlignment="1">
      <alignment horizontal="center" vertical="center"/>
    </xf>
    <xf numFmtId="182" fontId="15" fillId="0" borderId="102" xfId="9" applyNumberFormat="1" applyFont="1" applyFill="1" applyBorder="1" applyAlignment="1">
      <alignment horizontal="center" vertical="center"/>
    </xf>
    <xf numFmtId="0" fontId="13" fillId="0" borderId="28" xfId="9" applyFont="1" applyFill="1" applyBorder="1" applyAlignment="1">
      <alignment horizontal="left" vertical="center"/>
    </xf>
    <xf numFmtId="0" fontId="15" fillId="0" borderId="28" xfId="9" applyFont="1" applyFill="1" applyBorder="1" applyAlignment="1">
      <alignment horizontal="center" vertical="center"/>
    </xf>
    <xf numFmtId="182" fontId="15" fillId="0" borderId="28" xfId="9" applyNumberFormat="1" applyFont="1" applyFill="1" applyBorder="1" applyAlignment="1">
      <alignment horizontal="center" vertical="center"/>
    </xf>
    <xf numFmtId="177" fontId="14" fillId="0" borderId="0" xfId="9" applyNumberFormat="1" applyFont="1" applyFill="1">
      <alignment vertical="center"/>
    </xf>
    <xf numFmtId="0" fontId="20" fillId="0" borderId="0" xfId="9" applyFont="1" applyFill="1" applyBorder="1" applyAlignment="1">
      <alignment horizontal="center" vertical="center"/>
    </xf>
    <xf numFmtId="0" fontId="14" fillId="0" borderId="0" xfId="9" applyFont="1" applyFill="1" applyBorder="1">
      <alignment vertical="center"/>
    </xf>
    <xf numFmtId="38" fontId="15" fillId="0" borderId="0" xfId="13" applyFont="1" applyFill="1" applyBorder="1" applyAlignment="1">
      <alignment horizontal="right" vertical="center"/>
    </xf>
    <xf numFmtId="38" fontId="15" fillId="0" borderId="89" xfId="13" applyFont="1" applyFill="1" applyBorder="1" applyAlignment="1">
      <alignment horizontal="right" vertical="center"/>
    </xf>
    <xf numFmtId="176" fontId="23" fillId="0" borderId="14" xfId="9" applyNumberFormat="1" applyFont="1" applyFill="1" applyBorder="1">
      <alignment vertical="center"/>
    </xf>
    <xf numFmtId="180" fontId="15" fillId="0" borderId="8" xfId="9" applyNumberFormat="1" applyFont="1" applyFill="1" applyBorder="1" applyAlignment="1">
      <alignment vertical="center"/>
    </xf>
    <xf numFmtId="0" fontId="15" fillId="0" borderId="8" xfId="9" applyFont="1" applyFill="1" applyBorder="1" applyAlignment="1">
      <alignment vertical="center"/>
    </xf>
    <xf numFmtId="177" fontId="15" fillId="0" borderId="116" xfId="9" applyNumberFormat="1" applyFont="1" applyFill="1" applyBorder="1" applyAlignment="1">
      <alignment vertical="center" shrinkToFit="1"/>
    </xf>
    <xf numFmtId="0" fontId="15" fillId="0" borderId="105" xfId="9" applyFont="1" applyFill="1" applyBorder="1">
      <alignment vertical="center"/>
    </xf>
    <xf numFmtId="0" fontId="15" fillId="0" borderId="106" xfId="9" applyFont="1" applyFill="1" applyBorder="1">
      <alignment vertical="center"/>
    </xf>
    <xf numFmtId="0" fontId="15" fillId="0" borderId="104" xfId="9" applyFont="1" applyFill="1" applyBorder="1" applyAlignment="1">
      <alignment horizontal="right" vertical="center"/>
    </xf>
    <xf numFmtId="0" fontId="14" fillId="0" borderId="0" xfId="9" applyFont="1" applyFill="1" applyBorder="1" applyAlignment="1">
      <alignment vertical="center"/>
    </xf>
    <xf numFmtId="0" fontId="14" fillId="0" borderId="101" xfId="9" applyFont="1" applyFill="1" applyBorder="1" applyAlignment="1">
      <alignment vertical="center"/>
    </xf>
    <xf numFmtId="0" fontId="18" fillId="0" borderId="0" xfId="9" applyFont="1" applyFill="1" applyProtection="1">
      <alignment vertical="center"/>
      <protection locked="0"/>
    </xf>
    <xf numFmtId="0" fontId="14" fillId="0" borderId="0" xfId="9" applyFont="1" applyFill="1" applyAlignment="1">
      <alignment horizontal="right" vertical="center"/>
    </xf>
    <xf numFmtId="0" fontId="12" fillId="0" borderId="0" xfId="9" applyFont="1" applyFill="1" applyAlignment="1" applyProtection="1">
      <alignment vertical="center" wrapText="1"/>
      <protection locked="0"/>
    </xf>
    <xf numFmtId="0" fontId="14" fillId="0" borderId="36" xfId="9" applyFont="1" applyFill="1" applyBorder="1" applyAlignment="1">
      <alignment horizontal="center" vertical="center"/>
    </xf>
    <xf numFmtId="0" fontId="12" fillId="0" borderId="36" xfId="9" applyFont="1" applyFill="1" applyBorder="1" applyAlignment="1">
      <alignment horizontal="left" vertical="center" indent="1"/>
    </xf>
    <xf numFmtId="0" fontId="25" fillId="0" borderId="0" xfId="0" applyFont="1"/>
    <xf numFmtId="0" fontId="25" fillId="0" borderId="44" xfId="0" applyFont="1" applyBorder="1"/>
    <xf numFmtId="0" fontId="25" fillId="0" borderId="40" xfId="0" applyFont="1" applyBorder="1"/>
    <xf numFmtId="0" fontId="25" fillId="0" borderId="39" xfId="0" applyFont="1" applyBorder="1"/>
    <xf numFmtId="0" fontId="25" fillId="0" borderId="43" xfId="0" applyFont="1" applyBorder="1"/>
    <xf numFmtId="0" fontId="25" fillId="0" borderId="0" xfId="0" applyFont="1" applyBorder="1"/>
    <xf numFmtId="0" fontId="25" fillId="0" borderId="38" xfId="0" applyFont="1" applyBorder="1"/>
    <xf numFmtId="0" fontId="25" fillId="0" borderId="33" xfId="0" applyFont="1" applyBorder="1"/>
    <xf numFmtId="0" fontId="25" fillId="0" borderId="113" xfId="0" applyFont="1" applyBorder="1"/>
    <xf numFmtId="0" fontId="25" fillId="0" borderId="41" xfId="0" applyFont="1" applyBorder="1"/>
    <xf numFmtId="0" fontId="22" fillId="0" borderId="0" xfId="18" applyFont="1" applyBorder="1" applyAlignment="1">
      <alignment horizontal="center" vertical="center"/>
    </xf>
    <xf numFmtId="0" fontId="22" fillId="0" borderId="0" xfId="18" applyFont="1" applyBorder="1" applyAlignment="1">
      <alignment vertical="center"/>
    </xf>
    <xf numFmtId="0" fontId="22" fillId="0" borderId="0" xfId="18" applyFont="1" applyFill="1" applyBorder="1" applyAlignment="1">
      <alignment vertical="center"/>
    </xf>
    <xf numFmtId="0" fontId="27" fillId="4" borderId="0" xfId="18" applyFont="1" applyFill="1" applyBorder="1" applyAlignment="1">
      <alignment horizontal="center" vertical="center"/>
    </xf>
    <xf numFmtId="0" fontId="27" fillId="4" borderId="31" xfId="18" applyFont="1" applyFill="1" applyBorder="1" applyAlignment="1">
      <alignment horizontal="center" vertical="center"/>
    </xf>
    <xf numFmtId="0" fontId="27" fillId="0" borderId="0" xfId="18" applyFont="1" applyBorder="1" applyAlignment="1">
      <alignment horizontal="center" vertical="center"/>
    </xf>
    <xf numFmtId="0" fontId="22" fillId="0" borderId="31" xfId="18" applyFont="1" applyBorder="1" applyAlignment="1">
      <alignment vertical="center"/>
    </xf>
    <xf numFmtId="0" fontId="22" fillId="0" borderId="31" xfId="18" applyFont="1" applyBorder="1" applyAlignment="1">
      <alignment horizontal="center" vertical="center"/>
    </xf>
    <xf numFmtId="0" fontId="22" fillId="0" borderId="31" xfId="18" applyFont="1" applyFill="1" applyBorder="1" applyAlignment="1">
      <alignment vertical="center"/>
    </xf>
    <xf numFmtId="0" fontId="8" fillId="0" borderId="0" xfId="9" applyFont="1" applyFill="1" applyBorder="1" applyAlignment="1">
      <alignment vertical="center"/>
    </xf>
    <xf numFmtId="178" fontId="14" fillId="0" borderId="19" xfId="9" applyNumberFormat="1" applyFont="1" applyFill="1" applyBorder="1" applyAlignment="1">
      <alignment vertical="center" shrinkToFit="1"/>
    </xf>
    <xf numFmtId="0" fontId="14" fillId="0" borderId="0" xfId="9" applyFont="1" applyFill="1" applyBorder="1" applyAlignment="1">
      <alignment vertical="center"/>
    </xf>
    <xf numFmtId="0" fontId="14" fillId="0" borderId="0" xfId="9" applyFont="1" applyFill="1" applyBorder="1" applyAlignment="1">
      <alignment vertical="center" shrinkToFit="1"/>
    </xf>
    <xf numFmtId="0" fontId="30" fillId="0" borderId="0" xfId="6" applyFont="1" applyFill="1" applyAlignment="1">
      <alignment vertical="center"/>
    </xf>
    <xf numFmtId="0" fontId="11" fillId="0" borderId="0" xfId="9" applyFont="1">
      <alignment vertical="center"/>
    </xf>
    <xf numFmtId="0" fontId="12" fillId="0" borderId="0" xfId="9" applyFont="1" applyFill="1" applyAlignment="1" applyProtection="1">
      <alignment horizontal="right" vertical="center"/>
      <protection locked="0"/>
    </xf>
    <xf numFmtId="0" fontId="12" fillId="0" borderId="0" xfId="9" applyFont="1" applyFill="1" applyAlignment="1">
      <alignment horizontal="left" vertical="center"/>
    </xf>
    <xf numFmtId="0" fontId="14" fillId="0" borderId="87" xfId="9" applyFont="1" applyFill="1" applyBorder="1" applyAlignment="1">
      <alignment horizontal="center" vertical="center" shrinkToFit="1"/>
    </xf>
    <xf numFmtId="0" fontId="14" fillId="0" borderId="88" xfId="9" applyFont="1" applyFill="1" applyBorder="1" applyAlignment="1">
      <alignment horizontal="center" vertical="center" shrinkToFit="1"/>
    </xf>
    <xf numFmtId="0" fontId="14" fillId="0" borderId="80" xfId="9" applyFont="1" applyFill="1" applyBorder="1" applyAlignment="1">
      <alignment horizontal="center" vertical="center" shrinkToFit="1"/>
    </xf>
    <xf numFmtId="0" fontId="14" fillId="0" borderId="81" xfId="9" applyFont="1" applyFill="1" applyBorder="1" applyAlignment="1">
      <alignment horizontal="center" vertical="center" shrinkToFit="1"/>
    </xf>
    <xf numFmtId="0" fontId="14" fillId="0" borderId="25" xfId="9" applyFont="1" applyFill="1" applyBorder="1" applyAlignment="1">
      <alignment horizontal="center" vertical="center" shrinkToFit="1"/>
    </xf>
    <xf numFmtId="0" fontId="14" fillId="0" borderId="83" xfId="9" applyFont="1" applyFill="1" applyBorder="1" applyAlignment="1">
      <alignment horizontal="center" vertical="center" shrinkToFit="1"/>
    </xf>
    <xf numFmtId="0" fontId="14" fillId="0" borderId="81" xfId="9" applyFont="1" applyFill="1" applyBorder="1" applyAlignment="1">
      <alignment horizontal="center" vertical="center" wrapText="1" shrinkToFit="1"/>
    </xf>
    <xf numFmtId="0" fontId="14" fillId="0" borderId="38" xfId="9" applyFont="1" applyFill="1" applyBorder="1" applyAlignment="1">
      <alignment horizontal="center" vertical="center" shrinkToFit="1"/>
    </xf>
    <xf numFmtId="0" fontId="14" fillId="0" borderId="81" xfId="9" applyFont="1" applyFill="1" applyBorder="1" applyAlignment="1">
      <alignment vertical="center" shrinkToFit="1"/>
    </xf>
    <xf numFmtId="0" fontId="14" fillId="0" borderId="5" xfId="9" applyFont="1" applyFill="1" applyBorder="1" applyAlignment="1">
      <alignment horizontal="center" vertical="center" shrinkToFit="1"/>
    </xf>
    <xf numFmtId="0" fontId="11" fillId="0" borderId="0" xfId="9" applyFont="1" applyFill="1">
      <alignment vertical="center"/>
    </xf>
    <xf numFmtId="178" fontId="14" fillId="0" borderId="8" xfId="9" applyNumberFormat="1" applyFont="1" applyFill="1" applyBorder="1" applyAlignment="1">
      <alignment vertical="center" shrinkToFit="1"/>
    </xf>
    <xf numFmtId="178" fontId="14" fillId="0" borderId="28" xfId="9" applyNumberFormat="1" applyFont="1" applyFill="1" applyBorder="1" applyAlignment="1">
      <alignment vertical="center" shrinkToFit="1"/>
    </xf>
    <xf numFmtId="178" fontId="14" fillId="0" borderId="123" xfId="9" applyNumberFormat="1" applyFont="1" applyFill="1" applyBorder="1" applyAlignment="1">
      <alignment vertical="center" shrinkToFit="1"/>
    </xf>
    <xf numFmtId="180" fontId="14" fillId="0" borderId="1" xfId="9" applyNumberFormat="1" applyFont="1" applyFill="1" applyBorder="1" applyAlignment="1">
      <alignment vertical="center" shrinkToFit="1"/>
    </xf>
    <xf numFmtId="38" fontId="14" fillId="0" borderId="1" xfId="13" applyFont="1" applyFill="1" applyBorder="1" applyAlignment="1">
      <alignment vertical="center" shrinkToFit="1"/>
    </xf>
    <xf numFmtId="38" fontId="14" fillId="0" borderId="30" xfId="13" applyFont="1" applyFill="1" applyBorder="1" applyAlignment="1">
      <alignment vertical="center" shrinkToFit="1"/>
    </xf>
    <xf numFmtId="178" fontId="14" fillId="0" borderId="174" xfId="9" applyNumberFormat="1" applyFont="1" applyFill="1" applyBorder="1" applyAlignment="1">
      <alignment vertical="center" shrinkToFit="1"/>
    </xf>
    <xf numFmtId="178" fontId="14" fillId="0" borderId="175" xfId="9" applyNumberFormat="1" applyFont="1" applyFill="1" applyBorder="1" applyAlignment="1">
      <alignment vertical="center" shrinkToFit="1"/>
    </xf>
    <xf numFmtId="0" fontId="12" fillId="0" borderId="36" xfId="9" applyFont="1" applyFill="1" applyBorder="1" applyAlignment="1">
      <alignment horizontal="left" vertical="center" indent="1"/>
    </xf>
    <xf numFmtId="0" fontId="14" fillId="0" borderId="0" xfId="9" applyFont="1" applyFill="1" applyBorder="1" applyAlignment="1">
      <alignment vertical="center"/>
    </xf>
    <xf numFmtId="0" fontId="15" fillId="0" borderId="102" xfId="9" applyFont="1" applyFill="1" applyBorder="1" applyAlignment="1">
      <alignment horizontal="center" vertical="center"/>
    </xf>
    <xf numFmtId="0" fontId="15" fillId="0" borderId="28" xfId="9" applyFont="1" applyFill="1" applyBorder="1" applyAlignment="1">
      <alignment horizontal="center" vertical="center"/>
    </xf>
    <xf numFmtId="184" fontId="15" fillId="0" borderId="89" xfId="9" applyNumberFormat="1" applyFont="1" applyFill="1" applyBorder="1" applyAlignment="1">
      <alignment vertical="center"/>
    </xf>
    <xf numFmtId="0" fontId="15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vertical="center" shrinkToFit="1"/>
    </xf>
    <xf numFmtId="180" fontId="15" fillId="0" borderId="116" xfId="9" applyNumberFormat="1" applyFont="1" applyFill="1" applyBorder="1" applyAlignment="1">
      <alignment vertical="center"/>
    </xf>
    <xf numFmtId="0" fontId="15" fillId="0" borderId="43" xfId="9" applyFont="1" applyFill="1" applyBorder="1" applyAlignment="1">
      <alignment vertical="center"/>
    </xf>
    <xf numFmtId="0" fontId="15" fillId="0" borderId="83" xfId="9" applyFont="1" applyFill="1" applyBorder="1" applyAlignment="1">
      <alignment vertical="center"/>
    </xf>
    <xf numFmtId="180" fontId="15" fillId="0" borderId="8" xfId="9" applyNumberFormat="1" applyFont="1" applyFill="1" applyBorder="1" applyAlignment="1">
      <alignment vertical="center"/>
    </xf>
    <xf numFmtId="177" fontId="15" fillId="0" borderId="14" xfId="9" applyNumberFormat="1" applyFont="1" applyFill="1" applyBorder="1" applyAlignment="1">
      <alignment vertical="center"/>
    </xf>
    <xf numFmtId="0" fontId="15" fillId="0" borderId="14" xfId="9" applyFont="1" applyFill="1" applyBorder="1" applyAlignment="1">
      <alignment vertical="center"/>
    </xf>
    <xf numFmtId="177" fontId="15" fillId="0" borderId="116" xfId="9" applyNumberFormat="1" applyFont="1" applyFill="1" applyBorder="1" applyAlignment="1">
      <alignment vertical="center"/>
    </xf>
    <xf numFmtId="180" fontId="15" fillId="0" borderId="104" xfId="9" applyNumberFormat="1" applyFont="1" applyFill="1" applyBorder="1" applyAlignment="1">
      <alignment vertical="center"/>
    </xf>
    <xf numFmtId="38" fontId="15" fillId="0" borderId="0" xfId="13" applyFont="1" applyFill="1" applyBorder="1" applyAlignment="1">
      <alignment horizontal="right" vertical="center"/>
    </xf>
    <xf numFmtId="180" fontId="14" fillId="0" borderId="109" xfId="9" applyNumberFormat="1" applyFont="1" applyFill="1" applyBorder="1" applyAlignment="1">
      <alignment vertical="center" shrinkToFit="1"/>
    </xf>
    <xf numFmtId="180" fontId="14" fillId="0" borderId="176" xfId="9" applyNumberFormat="1" applyFont="1" applyFill="1" applyBorder="1" applyAlignment="1">
      <alignment vertical="center" shrinkToFit="1"/>
    </xf>
    <xf numFmtId="177" fontId="14" fillId="0" borderId="176" xfId="10" applyNumberFormat="1" applyFont="1" applyFill="1" applyBorder="1" applyAlignment="1">
      <alignment vertical="center" shrinkToFit="1"/>
    </xf>
    <xf numFmtId="0" fontId="20" fillId="0" borderId="31" xfId="9" applyFont="1" applyBorder="1" applyAlignment="1">
      <alignment horizontal="center" vertical="center"/>
    </xf>
    <xf numFmtId="178" fontId="14" fillId="0" borderId="19" xfId="9" applyNumberFormat="1" applyFont="1" applyFill="1" applyBorder="1" applyAlignment="1">
      <alignment vertical="center" shrinkToFit="1"/>
    </xf>
    <xf numFmtId="178" fontId="14" fillId="0" borderId="51" xfId="9" applyNumberFormat="1" applyFont="1" applyFill="1" applyBorder="1" applyAlignment="1">
      <alignment vertical="center" shrinkToFit="1"/>
    </xf>
    <xf numFmtId="0" fontId="15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vertical="center" shrinkToFit="1"/>
    </xf>
    <xf numFmtId="0" fontId="15" fillId="0" borderId="14" xfId="9" applyFont="1" applyFill="1" applyBorder="1" applyAlignment="1">
      <alignment vertical="center"/>
    </xf>
    <xf numFmtId="0" fontId="15" fillId="0" borderId="83" xfId="9" applyFont="1" applyFill="1" applyBorder="1" applyAlignment="1">
      <alignment vertical="center"/>
    </xf>
    <xf numFmtId="0" fontId="15" fillId="0" borderId="43" xfId="9" applyFont="1" applyFill="1" applyBorder="1" applyAlignment="1">
      <alignment vertical="center"/>
    </xf>
    <xf numFmtId="0" fontId="25" fillId="0" borderId="31" xfId="0" applyFont="1" applyBorder="1"/>
    <xf numFmtId="0" fontId="25" fillId="0" borderId="0" xfId="0" applyFont="1" applyFill="1"/>
    <xf numFmtId="0" fontId="25" fillId="0" borderId="31" xfId="0" applyFont="1" applyFill="1" applyBorder="1"/>
    <xf numFmtId="40" fontId="25" fillId="0" borderId="31" xfId="13" applyNumberFormat="1" applyFont="1" applyFill="1" applyBorder="1" applyAlignment="1"/>
    <xf numFmtId="40" fontId="29" fillId="0" borderId="31" xfId="13" applyNumberFormat="1" applyFont="1" applyFill="1" applyBorder="1" applyAlignment="1"/>
    <xf numFmtId="2" fontId="25" fillId="0" borderId="31" xfId="0" applyNumberFormat="1" applyFont="1" applyFill="1" applyBorder="1"/>
    <xf numFmtId="0" fontId="25" fillId="0" borderId="32" xfId="0" applyFont="1" applyFill="1" applyBorder="1"/>
    <xf numFmtId="0" fontId="25" fillId="0" borderId="34" xfId="0" applyFont="1" applyFill="1" applyBorder="1"/>
    <xf numFmtId="2" fontId="25" fillId="0" borderId="34" xfId="0" applyNumberFormat="1" applyFont="1" applyFill="1" applyBorder="1"/>
    <xf numFmtId="0" fontId="25" fillId="0" borderId="0" xfId="0" applyFont="1" applyFill="1" applyAlignment="1">
      <alignment horizontal="left"/>
    </xf>
    <xf numFmtId="0" fontId="20" fillId="0" borderId="32" xfId="9" applyFont="1" applyBorder="1" applyAlignment="1">
      <alignment vertical="center"/>
    </xf>
    <xf numFmtId="0" fontId="20" fillId="0" borderId="36" xfId="9" applyFont="1" applyBorder="1" applyAlignment="1">
      <alignment vertical="center"/>
    </xf>
    <xf numFmtId="0" fontId="20" fillId="0" borderId="36" xfId="9" applyFont="1" applyBorder="1" applyAlignment="1" applyProtection="1">
      <alignment vertical="center" wrapText="1"/>
      <protection locked="0"/>
    </xf>
    <xf numFmtId="0" fontId="20" fillId="0" borderId="32" xfId="9" applyFont="1" applyBorder="1" applyAlignment="1" applyProtection="1">
      <alignment vertical="center"/>
      <protection locked="0"/>
    </xf>
    <xf numFmtId="0" fontId="20" fillId="0" borderId="36" xfId="9" applyFont="1" applyBorder="1" applyAlignment="1" applyProtection="1">
      <alignment vertical="center"/>
      <protection locked="0"/>
    </xf>
    <xf numFmtId="0" fontId="20" fillId="0" borderId="32" xfId="9" applyFont="1" applyFill="1" applyBorder="1" applyAlignment="1" applyProtection="1">
      <alignment vertical="center"/>
      <protection locked="0"/>
    </xf>
    <xf numFmtId="0" fontId="20" fillId="0" borderId="36" xfId="9" applyFont="1" applyFill="1" applyBorder="1" applyAlignment="1" applyProtection="1">
      <alignment vertical="center"/>
      <protection locked="0"/>
    </xf>
    <xf numFmtId="0" fontId="20" fillId="0" borderId="43" xfId="9" applyFont="1" applyBorder="1">
      <alignment vertical="center"/>
    </xf>
    <xf numFmtId="0" fontId="20" fillId="0" borderId="0" xfId="9" applyFont="1" applyBorder="1">
      <alignment vertical="center"/>
    </xf>
    <xf numFmtId="0" fontId="20" fillId="0" borderId="33" xfId="9" applyFont="1" applyBorder="1">
      <alignment vertical="center"/>
    </xf>
    <xf numFmtId="0" fontId="20" fillId="0" borderId="113" xfId="9" applyFont="1" applyBorder="1">
      <alignment vertical="center"/>
    </xf>
    <xf numFmtId="0" fontId="20" fillId="0" borderId="36" xfId="9" applyFont="1" applyBorder="1">
      <alignment vertical="center"/>
    </xf>
    <xf numFmtId="0" fontId="7" fillId="0" borderId="31" xfId="0" applyFont="1" applyBorder="1"/>
    <xf numFmtId="0" fontId="8" fillId="0" borderId="31" xfId="18" applyFont="1" applyBorder="1" applyAlignment="1">
      <alignment vertical="center"/>
    </xf>
    <xf numFmtId="0" fontId="14" fillId="0" borderId="82" xfId="9" applyFont="1" applyFill="1" applyBorder="1" applyAlignment="1">
      <alignment horizontal="left" vertical="center" shrinkToFit="1"/>
    </xf>
    <xf numFmtId="0" fontId="14" fillId="0" borderId="69" xfId="9" applyFont="1" applyFill="1" applyBorder="1" applyAlignment="1">
      <alignment horizontal="left" vertical="center" shrinkToFit="1"/>
    </xf>
    <xf numFmtId="0" fontId="14" fillId="0" borderId="176" xfId="9" applyFont="1" applyFill="1" applyBorder="1" applyAlignment="1">
      <alignment horizontal="left" vertical="center" shrinkToFit="1"/>
    </xf>
    <xf numFmtId="0" fontId="14" fillId="0" borderId="50" xfId="9" applyFont="1" applyFill="1" applyBorder="1" applyAlignment="1">
      <alignment horizontal="left" vertical="center" shrinkToFit="1"/>
    </xf>
    <xf numFmtId="0" fontId="14" fillId="0" borderId="60" xfId="9" applyFont="1" applyFill="1" applyBorder="1" applyAlignment="1">
      <alignment horizontal="left" vertical="center" shrinkToFit="1"/>
    </xf>
    <xf numFmtId="181" fontId="14" fillId="0" borderId="25" xfId="9" applyNumberFormat="1" applyFont="1" applyFill="1" applyBorder="1" applyAlignment="1">
      <alignment vertical="center" shrinkToFit="1"/>
    </xf>
    <xf numFmtId="179" fontId="14" fillId="0" borderId="25" xfId="9" applyNumberFormat="1" applyFont="1" applyFill="1" applyBorder="1" applyAlignment="1">
      <alignment vertical="center" shrinkToFit="1"/>
    </xf>
    <xf numFmtId="178" fontId="14" fillId="0" borderId="25" xfId="9" applyNumberFormat="1" applyFont="1" applyFill="1" applyBorder="1" applyAlignment="1">
      <alignment vertical="center" shrinkToFit="1"/>
    </xf>
    <xf numFmtId="178" fontId="14" fillId="0" borderId="20" xfId="9" applyNumberFormat="1" applyFont="1" applyFill="1" applyBorder="1" applyAlignment="1">
      <alignment vertical="center" shrinkToFit="1"/>
    </xf>
    <xf numFmtId="0" fontId="14" fillId="0" borderId="135" xfId="9" applyFont="1" applyFill="1" applyBorder="1" applyAlignment="1">
      <alignment horizontal="center" vertical="center" shrinkToFit="1"/>
    </xf>
    <xf numFmtId="178" fontId="14" fillId="0" borderId="16" xfId="9" applyNumberFormat="1" applyFont="1" applyFill="1" applyBorder="1" applyAlignment="1">
      <alignment vertical="center" shrinkToFit="1"/>
    </xf>
    <xf numFmtId="0" fontId="14" fillId="0" borderId="183" xfId="9" applyFont="1" applyFill="1" applyBorder="1" applyAlignment="1">
      <alignment vertical="center" shrinkToFit="1"/>
    </xf>
    <xf numFmtId="0" fontId="14" fillId="0" borderId="165" xfId="9" applyFont="1" applyFill="1" applyBorder="1" applyAlignment="1">
      <alignment vertical="center" shrinkToFit="1"/>
    </xf>
    <xf numFmtId="2" fontId="14" fillId="0" borderId="42" xfId="10" applyNumberFormat="1" applyFont="1" applyFill="1" applyBorder="1" applyAlignment="1">
      <alignment vertical="center" shrinkToFit="1"/>
    </xf>
    <xf numFmtId="180" fontId="14" fillId="0" borderId="165" xfId="9" applyNumberFormat="1" applyFont="1" applyFill="1" applyBorder="1" applyAlignment="1">
      <alignment vertical="center" shrinkToFit="1"/>
    </xf>
    <xf numFmtId="0" fontId="14" fillId="0" borderId="42" xfId="9" applyFont="1" applyFill="1" applyBorder="1" applyAlignment="1">
      <alignment vertical="center" shrinkToFit="1"/>
    </xf>
    <xf numFmtId="0" fontId="14" fillId="0" borderId="184" xfId="9" applyFont="1" applyFill="1" applyBorder="1" applyAlignment="1">
      <alignment horizontal="center" vertical="center" shrinkToFit="1"/>
    </xf>
    <xf numFmtId="177" fontId="14" fillId="0" borderId="42" xfId="10" applyNumberFormat="1" applyFont="1" applyFill="1" applyBorder="1" applyAlignment="1">
      <alignment vertical="center" shrinkToFit="1"/>
    </xf>
    <xf numFmtId="181" fontId="14" fillId="0" borderId="185" xfId="9" applyNumberFormat="1" applyFont="1" applyFill="1" applyBorder="1" applyAlignment="1">
      <alignment vertical="center" shrinkToFit="1"/>
    </xf>
    <xf numFmtId="179" fontId="14" fillId="0" borderId="186" xfId="10" applyNumberFormat="1" applyFont="1" applyFill="1" applyBorder="1" applyAlignment="1">
      <alignment vertical="center" shrinkToFit="1"/>
    </xf>
    <xf numFmtId="181" fontId="14" fillId="0" borderId="186" xfId="9" applyNumberFormat="1" applyFont="1" applyFill="1" applyBorder="1" applyAlignment="1">
      <alignment vertical="center" shrinkToFit="1"/>
    </xf>
    <xf numFmtId="180" fontId="14" fillId="0" borderId="185" xfId="9" applyNumberFormat="1" applyFont="1" applyFill="1" applyBorder="1" applyAlignment="1">
      <alignment vertical="center" shrinkToFit="1"/>
    </xf>
    <xf numFmtId="177" fontId="14" fillId="0" borderId="186" xfId="10" applyNumberFormat="1" applyFont="1" applyFill="1" applyBorder="1" applyAlignment="1">
      <alignment vertical="center" shrinkToFit="1"/>
    </xf>
    <xf numFmtId="178" fontId="14" fillId="0" borderId="186" xfId="9" applyNumberFormat="1" applyFont="1" applyFill="1" applyBorder="1" applyAlignment="1">
      <alignment vertical="center" shrinkToFit="1"/>
    </xf>
    <xf numFmtId="178" fontId="14" fillId="0" borderId="187" xfId="9" applyNumberFormat="1" applyFont="1" applyFill="1" applyBorder="1" applyAlignment="1">
      <alignment vertical="center" shrinkToFit="1"/>
    </xf>
    <xf numFmtId="178" fontId="14" fillId="0" borderId="185" xfId="9" applyNumberFormat="1" applyFont="1" applyFill="1" applyBorder="1" applyAlignment="1">
      <alignment vertical="center" shrinkToFit="1"/>
    </xf>
    <xf numFmtId="180" fontId="14" fillId="0" borderId="185" xfId="9" applyNumberFormat="1" applyFont="1" applyFill="1" applyBorder="1" applyAlignment="1">
      <alignment horizontal="center" vertical="center" shrinkToFit="1"/>
    </xf>
    <xf numFmtId="179" fontId="14" fillId="0" borderId="186" xfId="9" applyNumberFormat="1" applyFont="1" applyFill="1" applyBorder="1" applyAlignment="1">
      <alignment vertical="center" shrinkToFit="1"/>
    </xf>
    <xf numFmtId="178" fontId="14" fillId="0" borderId="188" xfId="9" applyNumberFormat="1" applyFont="1" applyFill="1" applyBorder="1" applyAlignment="1">
      <alignment vertical="center" shrinkToFit="1"/>
    </xf>
    <xf numFmtId="177" fontId="14" fillId="0" borderId="158" xfId="10" applyNumberFormat="1" applyFont="1" applyFill="1" applyBorder="1" applyAlignment="1">
      <alignment vertical="center" shrinkToFit="1"/>
    </xf>
    <xf numFmtId="181" fontId="14" fillId="0" borderId="25" xfId="10" applyNumberFormat="1" applyFont="1" applyFill="1" applyBorder="1" applyAlignment="1">
      <alignment vertical="center" shrinkToFit="1"/>
    </xf>
    <xf numFmtId="179" fontId="14" fillId="0" borderId="25" xfId="10" applyNumberFormat="1" applyFont="1" applyFill="1" applyBorder="1" applyAlignment="1">
      <alignment vertical="center" shrinkToFit="1"/>
    </xf>
    <xf numFmtId="2" fontId="14" fillId="0" borderId="185" xfId="9" applyNumberFormat="1" applyFont="1" applyFill="1" applyBorder="1" applyAlignment="1">
      <alignment vertical="center" shrinkToFit="1"/>
    </xf>
    <xf numFmtId="0" fontId="14" fillId="0" borderId="158" xfId="9" applyFont="1" applyFill="1" applyBorder="1" applyAlignment="1">
      <alignment vertical="center" shrinkToFit="1"/>
    </xf>
    <xf numFmtId="180" fontId="14" fillId="0" borderId="25" xfId="9" applyNumberFormat="1" applyFont="1" applyFill="1" applyBorder="1" applyAlignment="1">
      <alignment vertical="center" shrinkToFit="1"/>
    </xf>
    <xf numFmtId="178" fontId="14" fillId="0" borderId="42" xfId="10" applyNumberFormat="1" applyFont="1" applyFill="1" applyBorder="1" applyAlignment="1">
      <alignment vertical="center" shrinkToFit="1"/>
    </xf>
    <xf numFmtId="0" fontId="14" fillId="0" borderId="185" xfId="9" applyFont="1" applyFill="1" applyBorder="1" applyAlignment="1">
      <alignment vertical="center" shrinkToFit="1"/>
    </xf>
    <xf numFmtId="180" fontId="14" fillId="0" borderId="186" xfId="9" applyNumberFormat="1" applyFont="1" applyFill="1" applyBorder="1" applyAlignment="1">
      <alignment vertical="center" shrinkToFit="1"/>
    </xf>
    <xf numFmtId="0" fontId="15" fillId="0" borderId="165" xfId="9" applyFont="1" applyFill="1" applyBorder="1">
      <alignment vertical="center"/>
    </xf>
    <xf numFmtId="0" fontId="15" fillId="0" borderId="189" xfId="9" applyFont="1" applyFill="1" applyBorder="1">
      <alignment vertical="center"/>
    </xf>
    <xf numFmtId="0" fontId="15" fillId="0" borderId="157" xfId="9" applyFont="1" applyFill="1" applyBorder="1">
      <alignment vertical="center"/>
    </xf>
    <xf numFmtId="180" fontId="15" fillId="0" borderId="189" xfId="9" applyNumberFormat="1" applyFont="1" applyFill="1" applyBorder="1" applyAlignment="1">
      <alignment vertical="center"/>
    </xf>
    <xf numFmtId="0" fontId="15" fillId="0" borderId="189" xfId="9" applyFont="1" applyFill="1" applyBorder="1" applyAlignment="1">
      <alignment horizontal="right" vertical="center"/>
    </xf>
    <xf numFmtId="177" fontId="15" fillId="0" borderId="189" xfId="9" applyNumberFormat="1" applyFont="1" applyFill="1" applyBorder="1" applyAlignment="1">
      <alignment vertical="center"/>
    </xf>
    <xf numFmtId="0" fontId="15" fillId="0" borderId="189" xfId="9" applyFont="1" applyFill="1" applyBorder="1" applyAlignment="1">
      <alignment vertical="center" shrinkToFit="1"/>
    </xf>
    <xf numFmtId="38" fontId="15" fillId="0" borderId="189" xfId="15" applyFont="1" applyFill="1" applyBorder="1" applyAlignment="1">
      <alignment vertical="center"/>
    </xf>
    <xf numFmtId="0" fontId="15" fillId="0" borderId="189" xfId="9" applyFont="1" applyFill="1" applyBorder="1" applyAlignment="1">
      <alignment vertical="center"/>
    </xf>
    <xf numFmtId="177" fontId="15" fillId="0" borderId="189" xfId="9" applyNumberFormat="1" applyFont="1" applyFill="1" applyBorder="1" applyAlignment="1">
      <alignment vertical="center" shrinkToFit="1"/>
    </xf>
    <xf numFmtId="0" fontId="15" fillId="0" borderId="190" xfId="9" applyFont="1" applyFill="1" applyBorder="1">
      <alignment vertical="center"/>
    </xf>
    <xf numFmtId="0" fontId="15" fillId="0" borderId="191" xfId="9" applyFont="1" applyFill="1" applyBorder="1">
      <alignment vertical="center"/>
    </xf>
    <xf numFmtId="0" fontId="15" fillId="0" borderId="192" xfId="9" applyFont="1" applyFill="1" applyBorder="1">
      <alignment vertical="center"/>
    </xf>
    <xf numFmtId="180" fontId="15" fillId="0" borderId="191" xfId="9" applyNumberFormat="1" applyFont="1" applyFill="1" applyBorder="1" applyAlignment="1">
      <alignment vertical="center"/>
    </xf>
    <xf numFmtId="0" fontId="15" fillId="0" borderId="191" xfId="9" applyFont="1" applyFill="1" applyBorder="1" applyAlignment="1">
      <alignment horizontal="right" vertical="center"/>
    </xf>
    <xf numFmtId="0" fontId="31" fillId="0" borderId="0" xfId="6" applyFont="1" applyAlignment="1">
      <alignment vertical="center"/>
    </xf>
    <xf numFmtId="0" fontId="20" fillId="0" borderId="31" xfId="9" applyFont="1" applyBorder="1">
      <alignment vertical="center"/>
    </xf>
    <xf numFmtId="0" fontId="32" fillId="0" borderId="0" xfId="18" applyFont="1" applyBorder="1" applyAlignment="1">
      <alignment vertical="center"/>
    </xf>
    <xf numFmtId="177" fontId="14" fillId="0" borderId="67" xfId="10" applyNumberFormat="1" applyFont="1" applyFill="1" applyBorder="1" applyAlignment="1" applyProtection="1">
      <alignment vertical="center" shrinkToFit="1"/>
      <protection locked="0"/>
    </xf>
    <xf numFmtId="177" fontId="14" fillId="0" borderId="182" xfId="10" applyNumberFormat="1" applyFont="1" applyFill="1" applyBorder="1" applyAlignment="1" applyProtection="1">
      <alignment vertical="center" shrinkToFit="1"/>
      <protection locked="0"/>
    </xf>
    <xf numFmtId="0" fontId="14" fillId="5" borderId="17" xfId="9" applyFont="1" applyFill="1" applyBorder="1" applyAlignment="1" applyProtection="1">
      <alignment vertical="center" shrinkToFit="1"/>
      <protection locked="0"/>
    </xf>
    <xf numFmtId="0" fontId="14" fillId="5" borderId="70" xfId="9" applyFont="1" applyFill="1" applyBorder="1" applyAlignment="1" applyProtection="1">
      <alignment vertical="center" shrinkToFit="1"/>
      <protection locked="0"/>
    </xf>
    <xf numFmtId="2" fontId="14" fillId="5" borderId="50" xfId="10" applyNumberFormat="1" applyFont="1" applyFill="1" applyBorder="1" applyAlignment="1" applyProtection="1">
      <alignment vertical="center" shrinkToFit="1"/>
      <protection locked="0"/>
    </xf>
    <xf numFmtId="0" fontId="14" fillId="5" borderId="50" xfId="9" applyFont="1" applyFill="1" applyBorder="1" applyAlignment="1" applyProtection="1">
      <alignment vertical="center" shrinkToFit="1"/>
      <protection locked="0"/>
    </xf>
    <xf numFmtId="0" fontId="14" fillId="5" borderId="13" xfId="9" applyFont="1" applyFill="1" applyBorder="1" applyAlignment="1" applyProtection="1">
      <alignment vertical="center" shrinkToFit="1"/>
      <protection locked="0"/>
    </xf>
    <xf numFmtId="0" fontId="14" fillId="5" borderId="109" xfId="9" applyFont="1" applyFill="1" applyBorder="1" applyAlignment="1" applyProtection="1">
      <alignment vertical="center" shrinkToFit="1"/>
      <protection locked="0"/>
    </xf>
    <xf numFmtId="2" fontId="14" fillId="5" borderId="176" xfId="10" applyNumberFormat="1" applyFont="1" applyFill="1" applyBorder="1" applyAlignment="1" applyProtection="1">
      <alignment vertical="center" shrinkToFit="1"/>
      <protection locked="0"/>
    </xf>
    <xf numFmtId="0" fontId="14" fillId="5" borderId="176" xfId="9" applyFont="1" applyFill="1" applyBorder="1" applyAlignment="1" applyProtection="1">
      <alignment vertical="center" shrinkToFit="1"/>
      <protection locked="0"/>
    </xf>
    <xf numFmtId="177" fontId="14" fillId="5" borderId="50" xfId="10" applyNumberFormat="1" applyFont="1" applyFill="1" applyBorder="1" applyAlignment="1" applyProtection="1">
      <alignment vertical="center" shrinkToFit="1"/>
      <protection locked="0"/>
    </xf>
    <xf numFmtId="181" fontId="14" fillId="5" borderId="68" xfId="9" applyNumberFormat="1" applyFont="1" applyFill="1" applyBorder="1" applyAlignment="1" applyProtection="1">
      <alignment vertical="center" shrinkToFit="1"/>
      <protection locked="0"/>
    </xf>
    <xf numFmtId="179" fontId="14" fillId="5" borderId="1" xfId="9" applyNumberFormat="1" applyFont="1" applyFill="1" applyBorder="1" applyAlignment="1" applyProtection="1">
      <alignment vertical="center" shrinkToFit="1"/>
      <protection locked="0"/>
    </xf>
    <xf numFmtId="177" fontId="14" fillId="5" borderId="176" xfId="10" applyNumberFormat="1" applyFont="1" applyFill="1" applyBorder="1" applyAlignment="1" applyProtection="1">
      <alignment vertical="center" shrinkToFit="1"/>
      <protection locked="0"/>
    </xf>
    <xf numFmtId="181" fontId="14" fillId="5" borderId="135" xfId="9" applyNumberFormat="1" applyFont="1" applyFill="1" applyBorder="1" applyAlignment="1" applyProtection="1">
      <alignment vertical="center" shrinkToFit="1"/>
      <protection locked="0"/>
    </xf>
    <xf numFmtId="179" fontId="14" fillId="5" borderId="25" xfId="9" applyNumberFormat="1" applyFont="1" applyFill="1" applyBorder="1" applyAlignment="1" applyProtection="1">
      <alignment vertical="center" shrinkToFit="1"/>
      <protection locked="0"/>
    </xf>
    <xf numFmtId="0" fontId="14" fillId="5" borderId="68" xfId="9" applyFont="1" applyFill="1" applyBorder="1" applyAlignment="1" applyProtection="1">
      <alignment vertical="center" shrinkToFit="1"/>
      <protection locked="0"/>
    </xf>
    <xf numFmtId="177" fontId="14" fillId="5" borderId="1" xfId="10" applyNumberFormat="1" applyFont="1" applyFill="1" applyBorder="1" applyAlignment="1" applyProtection="1">
      <alignment vertical="center" shrinkToFit="1"/>
      <protection locked="0"/>
    </xf>
    <xf numFmtId="178" fontId="14" fillId="5" borderId="1" xfId="9" applyNumberFormat="1" applyFont="1" applyFill="1" applyBorder="1" applyAlignment="1" applyProtection="1">
      <alignment vertical="center" shrinkToFit="1"/>
      <protection locked="0"/>
    </xf>
    <xf numFmtId="0" fontId="14" fillId="5" borderId="135" xfId="9" applyFont="1" applyFill="1" applyBorder="1" applyAlignment="1" applyProtection="1">
      <alignment vertical="center" shrinkToFit="1"/>
      <protection locked="0"/>
    </xf>
    <xf numFmtId="177" fontId="14" fillId="5" borderId="25" xfId="10" applyNumberFormat="1" applyFont="1" applyFill="1" applyBorder="1" applyAlignment="1" applyProtection="1">
      <alignment vertical="center" shrinkToFit="1"/>
      <protection locked="0"/>
    </xf>
    <xf numFmtId="178" fontId="14" fillId="5" borderId="25" xfId="9" applyNumberFormat="1" applyFont="1" applyFill="1" applyBorder="1" applyAlignment="1" applyProtection="1">
      <alignment vertical="center" shrinkToFit="1"/>
      <protection locked="0"/>
    </xf>
    <xf numFmtId="178" fontId="14" fillId="5" borderId="68" xfId="9" applyNumberFormat="1" applyFont="1" applyFill="1" applyBorder="1" applyAlignment="1" applyProtection="1">
      <alignment vertical="center" shrinkToFit="1"/>
      <protection locked="0"/>
    </xf>
    <xf numFmtId="178" fontId="14" fillId="5" borderId="135" xfId="9" applyNumberFormat="1" applyFont="1" applyFill="1" applyBorder="1" applyAlignment="1" applyProtection="1">
      <alignment vertical="center" shrinkToFit="1"/>
      <protection locked="0"/>
    </xf>
    <xf numFmtId="179" fontId="14" fillId="5" borderId="1" xfId="10" applyNumberFormat="1" applyFont="1" applyFill="1" applyBorder="1" applyAlignment="1" applyProtection="1">
      <alignment vertical="center" shrinkToFit="1"/>
      <protection locked="0"/>
    </xf>
    <xf numFmtId="179" fontId="14" fillId="5" borderId="25" xfId="10" applyNumberFormat="1" applyFont="1" applyFill="1" applyBorder="1" applyAlignment="1" applyProtection="1">
      <alignment vertical="center" shrinkToFit="1"/>
      <protection locked="0"/>
    </xf>
    <xf numFmtId="0" fontId="14" fillId="3" borderId="168" xfId="9" applyFont="1" applyFill="1" applyBorder="1" applyAlignment="1">
      <alignment vertical="center" shrinkToFit="1"/>
    </xf>
    <xf numFmtId="0" fontId="14" fillId="3" borderId="127" xfId="9" applyFont="1" applyFill="1" applyBorder="1" applyAlignment="1">
      <alignment vertical="center" shrinkToFit="1"/>
    </xf>
    <xf numFmtId="0" fontId="14" fillId="3" borderId="169" xfId="9" applyFont="1" applyFill="1" applyBorder="1" applyAlignment="1">
      <alignment vertical="center" shrinkToFit="1"/>
    </xf>
    <xf numFmtId="0" fontId="14" fillId="3" borderId="128" xfId="9" applyFont="1" applyFill="1" applyBorder="1" applyAlignment="1">
      <alignment horizontal="center" vertical="center" shrinkToFit="1"/>
    </xf>
    <xf numFmtId="0" fontId="14" fillId="3" borderId="131" xfId="9" applyFont="1" applyFill="1" applyBorder="1" applyAlignment="1">
      <alignment vertical="center" shrinkToFit="1"/>
    </xf>
    <xf numFmtId="179" fontId="14" fillId="3" borderId="129" xfId="9" applyNumberFormat="1" applyFont="1" applyFill="1" applyBorder="1" applyAlignment="1">
      <alignment vertical="center" shrinkToFit="1"/>
    </xf>
    <xf numFmtId="0" fontId="14" fillId="3" borderId="129" xfId="9" applyFont="1" applyFill="1" applyBorder="1" applyAlignment="1">
      <alignment vertical="center" shrinkToFit="1"/>
    </xf>
    <xf numFmtId="177" fontId="14" fillId="3" borderId="129" xfId="9" applyNumberFormat="1" applyFont="1" applyFill="1" applyBorder="1" applyAlignment="1">
      <alignment vertical="center" shrinkToFit="1"/>
    </xf>
    <xf numFmtId="178" fontId="14" fillId="3" borderId="129" xfId="9" applyNumberFormat="1" applyFont="1" applyFill="1" applyBorder="1" applyAlignment="1">
      <alignment vertical="center" shrinkToFit="1"/>
    </xf>
    <xf numFmtId="178" fontId="14" fillId="3" borderId="130" xfId="9" applyNumberFormat="1" applyFont="1" applyFill="1" applyBorder="1" applyAlignment="1">
      <alignment vertical="center" shrinkToFit="1"/>
    </xf>
    <xf numFmtId="178" fontId="14" fillId="3" borderId="131" xfId="9" applyNumberFormat="1" applyFont="1" applyFill="1" applyBorder="1" applyAlignment="1">
      <alignment vertical="center" shrinkToFit="1"/>
    </xf>
    <xf numFmtId="0" fontId="14" fillId="3" borderId="131" xfId="9" applyFont="1" applyFill="1" applyBorder="1" applyAlignment="1">
      <alignment horizontal="center" vertical="center" shrinkToFit="1"/>
    </xf>
    <xf numFmtId="178" fontId="14" fillId="3" borderId="132" xfId="9" applyNumberFormat="1" applyFont="1" applyFill="1" applyBorder="1" applyAlignment="1">
      <alignment vertical="center" shrinkToFit="1"/>
    </xf>
    <xf numFmtId="0" fontId="14" fillId="3" borderId="170" xfId="9" applyFont="1" applyFill="1" applyBorder="1" applyAlignment="1">
      <alignment vertical="center" shrinkToFit="1"/>
    </xf>
    <xf numFmtId="181" fontId="14" fillId="3" borderId="131" xfId="9" applyNumberFormat="1" applyFont="1" applyFill="1" applyBorder="1" applyAlignment="1">
      <alignment vertical="center" shrinkToFit="1"/>
    </xf>
    <xf numFmtId="181" fontId="14" fillId="3" borderId="129" xfId="9" applyNumberFormat="1" applyFont="1" applyFill="1" applyBorder="1" applyAlignment="1">
      <alignment vertical="center" shrinkToFit="1"/>
    </xf>
    <xf numFmtId="0" fontId="14" fillId="0" borderId="67" xfId="9" applyFont="1" applyFill="1" applyBorder="1" applyAlignment="1" applyProtection="1">
      <alignment vertical="center" shrinkToFit="1"/>
      <protection locked="0"/>
    </xf>
    <xf numFmtId="0" fontId="14" fillId="0" borderId="182" xfId="9" applyFont="1" applyFill="1" applyBorder="1" applyAlignment="1" applyProtection="1">
      <alignment vertical="center" shrinkToFit="1"/>
      <protection locked="0"/>
    </xf>
    <xf numFmtId="0" fontId="14" fillId="5" borderId="69" xfId="9" applyFont="1" applyFill="1" applyBorder="1" applyAlignment="1" applyProtection="1">
      <alignment horizontal="left" vertical="center" shrinkToFit="1"/>
      <protection locked="0"/>
    </xf>
    <xf numFmtId="181" fontId="14" fillId="5" borderId="68" xfId="10" applyNumberFormat="1" applyFont="1" applyFill="1" applyBorder="1" applyAlignment="1" applyProtection="1">
      <alignment vertical="center" shrinkToFit="1"/>
      <protection locked="0"/>
    </xf>
    <xf numFmtId="0" fontId="14" fillId="5" borderId="136" xfId="9" applyFont="1" applyFill="1" applyBorder="1" applyAlignment="1" applyProtection="1">
      <alignment horizontal="left" vertical="center" shrinkToFit="1"/>
      <protection locked="0"/>
    </xf>
    <xf numFmtId="181" fontId="14" fillId="5" borderId="135" xfId="10" applyNumberFormat="1" applyFont="1" applyFill="1" applyBorder="1" applyAlignment="1" applyProtection="1">
      <alignment vertical="center" shrinkToFit="1"/>
      <protection locked="0"/>
    </xf>
    <xf numFmtId="177" fontId="14" fillId="5" borderId="68" xfId="9" applyNumberFormat="1" applyFont="1" applyFill="1" applyBorder="1" applyAlignment="1" applyProtection="1">
      <alignment vertical="center" shrinkToFit="1"/>
      <protection locked="0"/>
    </xf>
    <xf numFmtId="177" fontId="14" fillId="5" borderId="135" xfId="9" applyNumberFormat="1" applyFont="1" applyFill="1" applyBorder="1" applyAlignment="1" applyProtection="1">
      <alignment vertical="center" shrinkToFit="1"/>
      <protection locked="0"/>
    </xf>
    <xf numFmtId="0" fontId="14" fillId="3" borderId="23" xfId="9" applyFont="1" applyFill="1" applyBorder="1" applyAlignment="1">
      <alignment vertical="center" shrinkToFit="1"/>
    </xf>
    <xf numFmtId="0" fontId="14" fillId="3" borderId="111" xfId="9" applyFont="1" applyFill="1" applyBorder="1" applyAlignment="1">
      <alignment vertical="center" shrinkToFit="1"/>
    </xf>
    <xf numFmtId="0" fontId="14" fillId="3" borderId="160" xfId="9" applyFont="1" applyFill="1" applyBorder="1" applyAlignment="1">
      <alignment vertical="center" shrinkToFit="1"/>
    </xf>
    <xf numFmtId="0" fontId="14" fillId="3" borderId="146" xfId="9" applyFont="1" applyFill="1" applyBorder="1" applyAlignment="1">
      <alignment horizontal="center" vertical="center" shrinkToFit="1"/>
    </xf>
    <xf numFmtId="0" fontId="14" fillId="3" borderId="147" xfId="9" applyFont="1" applyFill="1" applyBorder="1" applyAlignment="1">
      <alignment vertical="center" shrinkToFit="1"/>
    </xf>
    <xf numFmtId="179" fontId="14" fillId="3" borderId="4" xfId="9" applyNumberFormat="1" applyFont="1" applyFill="1" applyBorder="1" applyAlignment="1">
      <alignment vertical="center" shrinkToFit="1"/>
    </xf>
    <xf numFmtId="0" fontId="14" fillId="3" borderId="4" xfId="9" applyFont="1" applyFill="1" applyBorder="1" applyAlignment="1">
      <alignment vertical="center" shrinkToFit="1"/>
    </xf>
    <xf numFmtId="177" fontId="14" fillId="3" borderId="4" xfId="9" applyNumberFormat="1" applyFont="1" applyFill="1" applyBorder="1" applyAlignment="1">
      <alignment vertical="center" shrinkToFit="1"/>
    </xf>
    <xf numFmtId="178" fontId="14" fillId="3" borderId="4" xfId="9" applyNumberFormat="1" applyFont="1" applyFill="1" applyBorder="1" applyAlignment="1">
      <alignment vertical="center" shrinkToFit="1"/>
    </xf>
    <xf numFmtId="178" fontId="14" fillId="3" borderId="24" xfId="9" applyNumberFormat="1" applyFont="1" applyFill="1" applyBorder="1" applyAlignment="1">
      <alignment vertical="center" shrinkToFit="1"/>
    </xf>
    <xf numFmtId="178" fontId="14" fillId="3" borderId="147" xfId="9" applyNumberFormat="1" applyFont="1" applyFill="1" applyBorder="1" applyAlignment="1">
      <alignment vertical="center" shrinkToFit="1"/>
    </xf>
    <xf numFmtId="0" fontId="14" fillId="3" borderId="147" xfId="9" applyFont="1" applyFill="1" applyBorder="1" applyAlignment="1">
      <alignment horizontal="center" vertical="center" shrinkToFit="1"/>
    </xf>
    <xf numFmtId="178" fontId="14" fillId="3" borderId="6" xfId="9" applyNumberFormat="1" applyFont="1" applyFill="1" applyBorder="1" applyAlignment="1">
      <alignment vertical="center" shrinkToFit="1"/>
    </xf>
    <xf numFmtId="0" fontId="14" fillId="3" borderId="159" xfId="9" applyFont="1" applyFill="1" applyBorder="1" applyAlignment="1" applyProtection="1">
      <alignment vertical="center" shrinkToFit="1"/>
      <protection locked="0"/>
    </xf>
    <xf numFmtId="180" fontId="14" fillId="5" borderId="68" xfId="9" applyNumberFormat="1" applyFont="1" applyFill="1" applyBorder="1" applyAlignment="1" applyProtection="1">
      <alignment vertical="center" shrinkToFit="1"/>
      <protection locked="0"/>
    </xf>
    <xf numFmtId="180" fontId="14" fillId="5" borderId="135" xfId="9" applyNumberFormat="1" applyFont="1" applyFill="1" applyBorder="1" applyAlignment="1" applyProtection="1">
      <alignment vertical="center" shrinkToFit="1"/>
      <protection locked="0"/>
    </xf>
    <xf numFmtId="178" fontId="14" fillId="5" borderId="50" xfId="10" applyNumberFormat="1" applyFont="1" applyFill="1" applyBorder="1" applyAlignment="1" applyProtection="1">
      <alignment vertical="center" shrinkToFit="1"/>
      <protection locked="0"/>
    </xf>
    <xf numFmtId="0" fontId="14" fillId="5" borderId="69" xfId="9" applyFont="1" applyFill="1" applyBorder="1" applyAlignment="1" applyProtection="1">
      <alignment horizontal="center" vertical="center" shrinkToFit="1"/>
      <protection locked="0"/>
    </xf>
    <xf numFmtId="178" fontId="14" fillId="5" borderId="176" xfId="10" applyNumberFormat="1" applyFont="1" applyFill="1" applyBorder="1" applyAlignment="1" applyProtection="1">
      <alignment vertical="center" shrinkToFit="1"/>
      <protection locked="0"/>
    </xf>
    <xf numFmtId="0" fontId="14" fillId="5" borderId="136" xfId="9" applyFont="1" applyFill="1" applyBorder="1" applyAlignment="1" applyProtection="1">
      <alignment horizontal="center" vertical="center" shrinkToFit="1"/>
      <protection locked="0"/>
    </xf>
    <xf numFmtId="0" fontId="16" fillId="5" borderId="17" xfId="9" applyFont="1" applyFill="1" applyBorder="1" applyAlignment="1" applyProtection="1">
      <alignment vertical="center"/>
      <protection locked="0"/>
    </xf>
    <xf numFmtId="0" fontId="31" fillId="0" borderId="0" xfId="9" applyFont="1" applyFill="1" applyProtection="1">
      <alignment vertical="center"/>
      <protection locked="0"/>
    </xf>
    <xf numFmtId="0" fontId="14" fillId="0" borderId="119" xfId="9" applyFont="1" applyFill="1" applyBorder="1" applyAlignment="1">
      <alignment vertical="center" shrinkToFit="1"/>
    </xf>
    <xf numFmtId="2" fontId="14" fillId="0" borderId="94" xfId="10" applyNumberFormat="1" applyFont="1" applyFill="1" applyBorder="1" applyAlignment="1">
      <alignment vertical="center" shrinkToFit="1"/>
    </xf>
    <xf numFmtId="180" fontId="14" fillId="0" borderId="127" xfId="9" applyNumberFormat="1" applyFont="1" applyFill="1" applyBorder="1" applyAlignment="1">
      <alignment vertical="center" shrinkToFit="1"/>
    </xf>
    <xf numFmtId="180" fontId="14" fillId="0" borderId="169" xfId="9" applyNumberFormat="1" applyFont="1" applyFill="1" applyBorder="1" applyAlignment="1">
      <alignment vertical="center" shrinkToFit="1"/>
    </xf>
    <xf numFmtId="0" fontId="14" fillId="0" borderId="167" xfId="9" applyFont="1" applyFill="1" applyBorder="1" applyAlignment="1">
      <alignment horizontal="left" vertical="center" shrinkToFit="1"/>
    </xf>
    <xf numFmtId="177" fontId="14" fillId="0" borderId="94" xfId="10" applyNumberFormat="1" applyFont="1" applyFill="1" applyBorder="1" applyAlignment="1">
      <alignment vertical="center" shrinkToFit="1"/>
    </xf>
    <xf numFmtId="181" fontId="14" fillId="0" borderId="194" xfId="9" applyNumberFormat="1" applyFont="1" applyFill="1" applyBorder="1" applyAlignment="1">
      <alignment vertical="center" shrinkToFit="1"/>
    </xf>
    <xf numFmtId="179" fontId="14" fillId="0" borderId="195" xfId="10" applyNumberFormat="1" applyFont="1" applyFill="1" applyBorder="1" applyAlignment="1">
      <alignment vertical="center" shrinkToFit="1"/>
    </xf>
    <xf numFmtId="178" fontId="14" fillId="0" borderId="196" xfId="9" applyNumberFormat="1" applyFont="1" applyFill="1" applyBorder="1" applyAlignment="1">
      <alignment vertical="center" shrinkToFit="1"/>
    </xf>
    <xf numFmtId="180" fontId="14" fillId="0" borderId="194" xfId="9" applyNumberFormat="1" applyFont="1" applyFill="1" applyBorder="1" applyAlignment="1">
      <alignment vertical="center" shrinkToFit="1"/>
    </xf>
    <xf numFmtId="177" fontId="14" fillId="0" borderId="195" xfId="10" applyNumberFormat="1" applyFont="1" applyFill="1" applyBorder="1" applyAlignment="1">
      <alignment vertical="center" shrinkToFit="1"/>
    </xf>
    <xf numFmtId="178" fontId="14" fillId="0" borderId="197" xfId="9" applyNumberFormat="1" applyFont="1" applyFill="1" applyBorder="1" applyAlignment="1">
      <alignment vertical="center" shrinkToFit="1"/>
    </xf>
    <xf numFmtId="178" fontId="14" fillId="0" borderId="194" xfId="9" applyNumberFormat="1" applyFont="1" applyFill="1" applyBorder="1" applyAlignment="1">
      <alignment vertical="center" shrinkToFit="1"/>
    </xf>
    <xf numFmtId="180" fontId="14" fillId="0" borderId="194" xfId="9" applyNumberFormat="1" applyFont="1" applyFill="1" applyBorder="1" applyAlignment="1">
      <alignment horizontal="center" vertical="center" shrinkToFit="1"/>
    </xf>
    <xf numFmtId="179" fontId="14" fillId="0" borderId="195" xfId="9" applyNumberFormat="1" applyFont="1" applyFill="1" applyBorder="1" applyAlignment="1">
      <alignment vertical="center" shrinkToFit="1"/>
    </xf>
    <xf numFmtId="177" fontId="14" fillId="0" borderId="90" xfId="10" applyNumberFormat="1" applyFont="1" applyFill="1" applyBorder="1" applyAlignment="1">
      <alignment vertical="center" shrinkToFit="1"/>
    </xf>
    <xf numFmtId="0" fontId="14" fillId="0" borderId="56" xfId="9" applyFont="1" applyFill="1" applyBorder="1" applyAlignment="1">
      <alignment horizontal="left" vertical="center" shrinkToFit="1"/>
    </xf>
    <xf numFmtId="0" fontId="14" fillId="0" borderId="169" xfId="9" applyFont="1" applyFill="1" applyBorder="1" applyAlignment="1">
      <alignment horizontal="left" vertical="center" shrinkToFit="1"/>
    </xf>
    <xf numFmtId="181" fontId="14" fillId="0" borderId="195" xfId="9" applyNumberFormat="1" applyFont="1" applyFill="1" applyBorder="1" applyAlignment="1">
      <alignment vertical="center" shrinkToFit="1"/>
    </xf>
    <xf numFmtId="2" fontId="14" fillId="0" borderId="194" xfId="9" applyNumberFormat="1" applyFont="1" applyFill="1" applyBorder="1" applyAlignment="1">
      <alignment vertical="center" shrinkToFit="1"/>
    </xf>
    <xf numFmtId="178" fontId="14" fillId="0" borderId="102" xfId="9" applyNumberFormat="1" applyFont="1" applyFill="1" applyBorder="1" applyAlignment="1">
      <alignment vertical="center" shrinkToFit="1"/>
    </xf>
    <xf numFmtId="0" fontId="14" fillId="0" borderId="90" xfId="9" applyFont="1" applyFill="1" applyBorder="1" applyAlignment="1">
      <alignment vertical="center" shrinkToFit="1"/>
    </xf>
    <xf numFmtId="0" fontId="14" fillId="0" borderId="94" xfId="9" applyFont="1" applyFill="1" applyBorder="1" applyAlignment="1">
      <alignment vertical="center" shrinkToFit="1"/>
    </xf>
    <xf numFmtId="178" fontId="14" fillId="0" borderId="94" xfId="10" applyNumberFormat="1" applyFont="1" applyFill="1" applyBorder="1" applyAlignment="1">
      <alignment vertical="center" shrinkToFit="1"/>
    </xf>
    <xf numFmtId="38" fontId="14" fillId="0" borderId="195" xfId="13" applyFont="1" applyFill="1" applyBorder="1" applyAlignment="1">
      <alignment vertical="center" shrinkToFit="1"/>
    </xf>
    <xf numFmtId="2" fontId="14" fillId="0" borderId="119" xfId="9" applyNumberFormat="1" applyFont="1" applyFill="1" applyBorder="1" applyAlignment="1">
      <alignment vertical="center" shrinkToFit="1"/>
    </xf>
    <xf numFmtId="178" fontId="14" fillId="0" borderId="195" xfId="9" applyNumberFormat="1" applyFont="1" applyFill="1" applyBorder="1" applyAlignment="1">
      <alignment vertical="center" shrinkToFit="1"/>
    </xf>
    <xf numFmtId="178" fontId="14" fillId="0" borderId="120" xfId="9" applyNumberFormat="1" applyFont="1" applyFill="1" applyBorder="1" applyAlignment="1">
      <alignment vertical="center" shrinkToFit="1"/>
    </xf>
    <xf numFmtId="178" fontId="14" fillId="0" borderId="119" xfId="9" applyNumberFormat="1" applyFont="1" applyFill="1" applyBorder="1" applyAlignment="1">
      <alignment vertical="center" shrinkToFit="1"/>
    </xf>
    <xf numFmtId="178" fontId="14" fillId="0" borderId="167" xfId="9" applyNumberFormat="1" applyFont="1" applyFill="1" applyBorder="1" applyAlignment="1">
      <alignment vertical="center" shrinkToFit="1"/>
    </xf>
    <xf numFmtId="180" fontId="14" fillId="0" borderId="119" xfId="9" applyNumberFormat="1" applyFont="1" applyFill="1" applyBorder="1" applyAlignment="1">
      <alignment horizontal="center" vertical="center" shrinkToFit="1"/>
    </xf>
    <xf numFmtId="0" fontId="14" fillId="0" borderId="59" xfId="9" applyFont="1" applyFill="1" applyBorder="1" applyAlignment="1">
      <alignment vertical="center" shrinkToFit="1"/>
    </xf>
    <xf numFmtId="178" fontId="14" fillId="0" borderId="59" xfId="10" applyNumberFormat="1" applyFont="1" applyFill="1" applyBorder="1" applyAlignment="1">
      <alignment vertical="center" shrinkToFit="1"/>
    </xf>
    <xf numFmtId="2" fontId="14" fillId="0" borderId="99" xfId="9" applyNumberFormat="1" applyFont="1" applyFill="1" applyBorder="1" applyAlignment="1">
      <alignment vertical="center" shrinkToFit="1"/>
    </xf>
    <xf numFmtId="178" fontId="14" fillId="0" borderId="100" xfId="9" applyNumberFormat="1" applyFont="1" applyFill="1" applyBorder="1" applyAlignment="1">
      <alignment vertical="center" shrinkToFit="1"/>
    </xf>
    <xf numFmtId="178" fontId="14" fillId="0" borderId="99" xfId="9" applyNumberFormat="1" applyFont="1" applyFill="1" applyBorder="1" applyAlignment="1">
      <alignment vertical="center" shrinkToFit="1"/>
    </xf>
    <xf numFmtId="180" fontId="14" fillId="0" borderId="99" xfId="9" applyNumberFormat="1" applyFont="1" applyFill="1" applyBorder="1" applyAlignment="1">
      <alignment horizontal="center" vertical="center" shrinkToFit="1"/>
    </xf>
    <xf numFmtId="0" fontId="7" fillId="0" borderId="31" xfId="0" applyFont="1" applyFill="1" applyBorder="1"/>
    <xf numFmtId="0" fontId="8" fillId="0" borderId="31" xfId="18" applyFont="1" applyFill="1" applyBorder="1" applyAlignment="1">
      <alignment vertical="center"/>
    </xf>
    <xf numFmtId="0" fontId="33" fillId="0" borderId="0" xfId="0" applyFont="1"/>
    <xf numFmtId="0" fontId="12" fillId="0" borderId="11" xfId="9" applyFont="1" applyFill="1" applyBorder="1">
      <alignment vertical="center"/>
    </xf>
    <xf numFmtId="0" fontId="11" fillId="0" borderId="11" xfId="9" applyFill="1" applyBorder="1">
      <alignment vertical="center"/>
    </xf>
    <xf numFmtId="0" fontId="20" fillId="0" borderId="31" xfId="9" applyFont="1" applyBorder="1" applyAlignment="1">
      <alignment horizontal="center" vertical="center"/>
    </xf>
    <xf numFmtId="0" fontId="20" fillId="0" borderId="0" xfId="9" applyFont="1" applyAlignment="1">
      <alignment vertical="center"/>
    </xf>
    <xf numFmtId="0" fontId="20" fillId="0" borderId="31" xfId="9" applyFont="1" applyBorder="1" applyAlignment="1" applyProtection="1">
      <alignment vertical="center" wrapText="1"/>
      <protection locked="0"/>
    </xf>
    <xf numFmtId="0" fontId="20" fillId="0" borderId="43" xfId="9" applyFont="1" applyBorder="1" applyAlignment="1" applyProtection="1">
      <alignment vertical="center"/>
      <protection locked="0"/>
    </xf>
    <xf numFmtId="0" fontId="20" fillId="0" borderId="0" xfId="9" applyFont="1" applyBorder="1" applyAlignment="1" applyProtection="1">
      <alignment vertical="center"/>
      <protection locked="0"/>
    </xf>
    <xf numFmtId="0" fontId="20" fillId="0" borderId="0" xfId="9" applyFont="1" applyBorder="1" applyAlignment="1">
      <alignment vertical="center"/>
    </xf>
    <xf numFmtId="0" fontId="20" fillId="0" borderId="38" xfId="9" applyFont="1" applyBorder="1" applyAlignment="1">
      <alignment horizontal="center" vertical="center"/>
    </xf>
    <xf numFmtId="0" fontId="20" fillId="0" borderId="33" xfId="9" applyFont="1" applyBorder="1" applyAlignment="1" applyProtection="1">
      <alignment vertical="center"/>
      <protection locked="0"/>
    </xf>
    <xf numFmtId="0" fontId="20" fillId="0" borderId="113" xfId="9" applyFont="1" applyBorder="1" applyAlignment="1">
      <alignment vertical="center"/>
    </xf>
    <xf numFmtId="0" fontId="20" fillId="0" borderId="41" xfId="9" applyFont="1" applyBorder="1" applyAlignment="1">
      <alignment horizontal="center" vertical="center"/>
    </xf>
    <xf numFmtId="0" fontId="20" fillId="0" borderId="34" xfId="9" applyFont="1" applyBorder="1" applyAlignment="1">
      <alignment horizontal="center" vertical="center"/>
    </xf>
    <xf numFmtId="0" fontId="20" fillId="0" borderId="31" xfId="9" applyFont="1" applyFill="1" applyBorder="1" applyAlignment="1" applyProtection="1">
      <alignment vertical="center" wrapText="1"/>
      <protection locked="0"/>
    </xf>
    <xf numFmtId="0" fontId="27" fillId="0" borderId="31" xfId="18" applyFont="1" applyFill="1" applyBorder="1" applyAlignment="1">
      <alignment horizontal="center" vertical="center"/>
    </xf>
    <xf numFmtId="0" fontId="32" fillId="0" borderId="31" xfId="18" applyFont="1" applyFill="1" applyBorder="1" applyAlignment="1">
      <alignment vertical="center"/>
    </xf>
    <xf numFmtId="0" fontId="32" fillId="0" borderId="31" xfId="18" applyFont="1" applyBorder="1" applyAlignment="1">
      <alignment horizontal="center" vertical="center"/>
    </xf>
    <xf numFmtId="0" fontId="32" fillId="0" borderId="31" xfId="18" applyFont="1" applyBorder="1" applyAlignment="1">
      <alignment vertical="center"/>
    </xf>
    <xf numFmtId="0" fontId="27" fillId="0" borderId="0" xfId="18" applyFont="1" applyBorder="1" applyAlignment="1">
      <alignment horizontal="left" vertical="center"/>
    </xf>
    <xf numFmtId="0" fontId="22" fillId="0" borderId="0" xfId="18" applyFont="1" applyBorder="1" applyAlignment="1">
      <alignment horizontal="left" vertical="center"/>
    </xf>
    <xf numFmtId="38" fontId="22" fillId="0" borderId="0" xfId="13" applyFont="1" applyBorder="1" applyAlignment="1">
      <alignment vertical="center"/>
    </xf>
    <xf numFmtId="0" fontId="12" fillId="0" borderId="32" xfId="9" applyFont="1" applyBorder="1">
      <alignment vertical="center"/>
    </xf>
    <xf numFmtId="0" fontId="12" fillId="0" borderId="36" xfId="9" applyFont="1" applyBorder="1">
      <alignment vertical="center"/>
    </xf>
    <xf numFmtId="0" fontId="12" fillId="0" borderId="34" xfId="9" applyFont="1" applyBorder="1">
      <alignment vertical="center"/>
    </xf>
    <xf numFmtId="0" fontId="12" fillId="0" borderId="31" xfId="9" applyFont="1" applyBorder="1">
      <alignment vertical="center"/>
    </xf>
    <xf numFmtId="0" fontId="12" fillId="0" borderId="34" xfId="9" applyFont="1" applyBorder="1" applyAlignment="1">
      <alignment horizontal="center" vertical="center"/>
    </xf>
    <xf numFmtId="0" fontId="14" fillId="0" borderId="95" xfId="9" applyFont="1" applyFill="1" applyBorder="1" applyAlignment="1">
      <alignment horizontal="left" vertical="center" wrapText="1" shrinkToFit="1"/>
    </xf>
    <xf numFmtId="0" fontId="14" fillId="0" borderId="84" xfId="9" applyFont="1" applyFill="1" applyBorder="1" applyAlignment="1">
      <alignment horizontal="left" vertical="center" shrinkToFit="1"/>
    </xf>
    <xf numFmtId="0" fontId="14" fillId="0" borderId="164" xfId="9" applyFont="1" applyFill="1" applyBorder="1" applyAlignment="1">
      <alignment horizontal="left" vertical="center" shrinkToFit="1"/>
    </xf>
    <xf numFmtId="0" fontId="14" fillId="0" borderId="198" xfId="9" applyFont="1" applyFill="1" applyBorder="1" applyAlignment="1">
      <alignment horizontal="left" vertical="center" wrapText="1" shrinkToFit="1"/>
    </xf>
    <xf numFmtId="0" fontId="14" fillId="0" borderId="161" xfId="9" applyFont="1" applyFill="1" applyBorder="1" applyAlignment="1">
      <alignment horizontal="left" vertical="center" shrinkToFit="1"/>
    </xf>
    <xf numFmtId="0" fontId="14" fillId="0" borderId="162" xfId="9" applyFont="1" applyFill="1" applyBorder="1" applyAlignment="1">
      <alignment horizontal="left" vertical="center" shrinkToFit="1"/>
    </xf>
    <xf numFmtId="0" fontId="20" fillId="0" borderId="31" xfId="9" applyFont="1" applyBorder="1" applyAlignment="1">
      <alignment horizontal="center" vertical="center"/>
    </xf>
    <xf numFmtId="178" fontId="14" fillId="5" borderId="19" xfId="9" applyNumberFormat="1" applyFont="1" applyFill="1" applyBorder="1" applyAlignment="1" applyProtection="1">
      <alignment vertical="center" shrinkToFit="1"/>
      <protection locked="0"/>
    </xf>
    <xf numFmtId="178" fontId="14" fillId="5" borderId="7" xfId="9" applyNumberFormat="1" applyFont="1" applyFill="1" applyBorder="1" applyAlignment="1" applyProtection="1">
      <alignment vertical="center" shrinkToFit="1"/>
      <protection locked="0"/>
    </xf>
    <xf numFmtId="0" fontId="20" fillId="0" borderId="32" xfId="9" applyFont="1" applyFill="1" applyBorder="1" applyAlignment="1" applyProtection="1">
      <alignment horizontal="center" vertical="center"/>
      <protection locked="0"/>
    </xf>
    <xf numFmtId="0" fontId="20" fillId="0" borderId="36" xfId="9" applyFont="1" applyFill="1" applyBorder="1" applyAlignment="1" applyProtection="1">
      <alignment horizontal="center" vertical="center"/>
      <protection locked="0"/>
    </xf>
    <xf numFmtId="0" fontId="20" fillId="0" borderId="34" xfId="9" applyFont="1" applyFill="1" applyBorder="1" applyAlignment="1" applyProtection="1">
      <alignment horizontal="center" vertical="center"/>
      <protection locked="0"/>
    </xf>
    <xf numFmtId="178" fontId="14" fillId="0" borderId="19" xfId="9" applyNumberFormat="1" applyFont="1" applyFill="1" applyBorder="1" applyAlignment="1">
      <alignment vertical="center" shrinkToFit="1"/>
    </xf>
    <xf numFmtId="178" fontId="14" fillId="0" borderId="51" xfId="9" applyNumberFormat="1" applyFont="1" applyFill="1" applyBorder="1" applyAlignment="1">
      <alignment vertical="center" shrinkToFit="1"/>
    </xf>
    <xf numFmtId="178" fontId="14" fillId="5" borderId="16" xfId="9" applyNumberFormat="1" applyFont="1" applyFill="1" applyBorder="1" applyAlignment="1" applyProtection="1">
      <alignment vertical="center" shrinkToFit="1"/>
      <protection locked="0"/>
    </xf>
    <xf numFmtId="178" fontId="14" fillId="5" borderId="20" xfId="9" applyNumberFormat="1" applyFont="1" applyFill="1" applyBorder="1" applyAlignment="1" applyProtection="1">
      <alignment vertical="center" shrinkToFit="1"/>
      <protection locked="0"/>
    </xf>
    <xf numFmtId="178" fontId="14" fillId="0" borderId="16" xfId="9" applyNumberFormat="1" applyFont="1" applyFill="1" applyBorder="1" applyAlignment="1">
      <alignment vertical="center" shrinkToFit="1"/>
    </xf>
    <xf numFmtId="178" fontId="14" fillId="0" borderId="83" xfId="9" applyNumberFormat="1" applyFont="1" applyFill="1" applyBorder="1" applyAlignment="1">
      <alignment vertical="center" shrinkToFit="1"/>
    </xf>
    <xf numFmtId="178" fontId="14" fillId="0" borderId="188" xfId="9" applyNumberFormat="1" applyFont="1" applyFill="1" applyBorder="1" applyAlignment="1">
      <alignment vertical="center" shrinkToFit="1"/>
    </xf>
    <xf numFmtId="178" fontId="14" fillId="0" borderId="187" xfId="9" applyNumberFormat="1" applyFont="1" applyFill="1" applyBorder="1" applyAlignment="1">
      <alignment vertical="center" shrinkToFit="1"/>
    </xf>
    <xf numFmtId="178" fontId="14" fillId="0" borderId="157" xfId="9" applyNumberFormat="1" applyFont="1" applyFill="1" applyBorder="1" applyAlignment="1">
      <alignment vertical="center" shrinkToFit="1"/>
    </xf>
    <xf numFmtId="0" fontId="14" fillId="0" borderId="95" xfId="9" applyFont="1" applyFill="1" applyBorder="1" applyAlignment="1">
      <alignment horizontal="center" vertical="center" shrinkToFit="1"/>
    </xf>
    <xf numFmtId="0" fontId="14" fillId="0" borderId="84" xfId="9" applyFont="1" applyFill="1" applyBorder="1" applyAlignment="1">
      <alignment horizontal="center" vertical="center" shrinkToFit="1"/>
    </xf>
    <xf numFmtId="0" fontId="14" fillId="0" borderId="94" xfId="9" applyFont="1" applyFill="1" applyBorder="1" applyAlignment="1">
      <alignment horizontal="center" vertical="center" shrinkToFit="1"/>
    </xf>
    <xf numFmtId="0" fontId="14" fillId="0" borderId="37" xfId="9" applyFont="1" applyFill="1" applyBorder="1" applyAlignment="1">
      <alignment horizontal="center" vertical="center" shrinkToFit="1"/>
    </xf>
    <xf numFmtId="0" fontId="16" fillId="3" borderId="127" xfId="9" applyFont="1" applyFill="1" applyBorder="1" applyAlignment="1">
      <alignment horizontal="right" vertical="center" shrinkToFit="1"/>
    </xf>
    <xf numFmtId="0" fontId="16" fillId="3" borderId="126" xfId="9" applyFont="1" applyFill="1" applyBorder="1" applyAlignment="1">
      <alignment horizontal="right" vertical="center" shrinkToFit="1"/>
    </xf>
    <xf numFmtId="0" fontId="16" fillId="3" borderId="133" xfId="9" applyFont="1" applyFill="1" applyBorder="1" applyAlignment="1">
      <alignment horizontal="right" vertical="center" shrinkToFit="1"/>
    </xf>
    <xf numFmtId="178" fontId="14" fillId="3" borderId="132" xfId="9" applyNumberFormat="1" applyFont="1" applyFill="1" applyBorder="1" applyAlignment="1">
      <alignment vertical="center" shrinkToFit="1"/>
    </xf>
    <xf numFmtId="178" fontId="14" fillId="3" borderId="130" xfId="9" applyNumberFormat="1" applyFont="1" applyFill="1" applyBorder="1" applyAlignment="1">
      <alignment vertical="center" shrinkToFit="1"/>
    </xf>
    <xf numFmtId="178" fontId="14" fillId="3" borderId="133" xfId="9" applyNumberFormat="1" applyFont="1" applyFill="1" applyBorder="1" applyAlignment="1">
      <alignment vertical="center" shrinkToFit="1"/>
    </xf>
    <xf numFmtId="0" fontId="14" fillId="5" borderId="36" xfId="9" applyFont="1" applyFill="1" applyBorder="1" applyAlignment="1">
      <alignment horizontal="left" vertical="center"/>
    </xf>
    <xf numFmtId="0" fontId="14" fillId="5" borderId="34" xfId="9" applyFont="1" applyFill="1" applyBorder="1" applyAlignment="1">
      <alignment horizontal="left" vertical="center"/>
    </xf>
    <xf numFmtId="0" fontId="12" fillId="5" borderId="9" xfId="9" applyFont="1" applyFill="1" applyBorder="1" applyAlignment="1" applyProtection="1">
      <alignment horizontal="center" vertical="center"/>
      <protection locked="0"/>
    </xf>
    <xf numFmtId="0" fontId="12" fillId="5" borderId="10" xfId="9" applyFont="1" applyFill="1" applyBorder="1" applyAlignment="1" applyProtection="1">
      <alignment horizontal="center" vertical="center"/>
      <protection locked="0"/>
    </xf>
    <xf numFmtId="0" fontId="14" fillId="0" borderId="167" xfId="9" applyFont="1" applyFill="1" applyBorder="1" applyAlignment="1">
      <alignment horizontal="center" vertical="center" wrapText="1"/>
    </xf>
    <xf numFmtId="0" fontId="14" fillId="0" borderId="82" xfId="9" applyFont="1" applyFill="1" applyBorder="1" applyAlignment="1">
      <alignment horizontal="center" vertical="center" wrapText="1"/>
    </xf>
    <xf numFmtId="0" fontId="14" fillId="0" borderId="94" xfId="9" applyFont="1" applyFill="1" applyBorder="1" applyAlignment="1">
      <alignment horizontal="center" vertical="center" wrapText="1" shrinkToFit="1"/>
    </xf>
    <xf numFmtId="0" fontId="14" fillId="0" borderId="93" xfId="9" applyFont="1" applyFill="1" applyBorder="1" applyAlignment="1">
      <alignment horizontal="center" vertical="center" shrinkToFit="1"/>
    </xf>
    <xf numFmtId="0" fontId="14" fillId="0" borderId="92" xfId="9" applyFont="1" applyFill="1" applyBorder="1" applyAlignment="1">
      <alignment horizontal="center" vertical="center" shrinkToFit="1"/>
    </xf>
    <xf numFmtId="0" fontId="14" fillId="0" borderId="91" xfId="9" applyFont="1" applyFill="1" applyBorder="1" applyAlignment="1">
      <alignment horizontal="center" vertical="center" shrinkToFit="1"/>
    </xf>
    <xf numFmtId="0" fontId="14" fillId="0" borderId="90" xfId="9" applyFont="1" applyFill="1" applyBorder="1" applyAlignment="1">
      <alignment horizontal="center" vertical="center" shrinkToFit="1"/>
    </xf>
    <xf numFmtId="0" fontId="14" fillId="0" borderId="79" xfId="9" applyFont="1" applyFill="1" applyBorder="1" applyAlignment="1">
      <alignment horizontal="center" vertical="center" shrinkToFit="1"/>
    </xf>
    <xf numFmtId="0" fontId="14" fillId="0" borderId="76" xfId="9" applyFont="1" applyFill="1" applyBorder="1" applyAlignment="1">
      <alignment horizontal="center" vertical="center" shrinkToFit="1"/>
    </xf>
    <xf numFmtId="0" fontId="14" fillId="0" borderId="89" xfId="9" applyFont="1" applyFill="1" applyBorder="1" applyAlignment="1">
      <alignment horizontal="center" vertical="center" shrinkToFit="1"/>
    </xf>
    <xf numFmtId="0" fontId="14" fillId="0" borderId="71" xfId="9" applyFont="1" applyFill="1" applyBorder="1" applyAlignment="1">
      <alignment horizontal="center" vertical="center" shrinkToFit="1"/>
    </xf>
    <xf numFmtId="0" fontId="14" fillId="0" borderId="78" xfId="9" applyFont="1" applyFill="1" applyBorder="1" applyAlignment="1">
      <alignment horizontal="center" vertical="center" shrinkToFit="1"/>
    </xf>
    <xf numFmtId="0" fontId="14" fillId="0" borderId="85" xfId="9" applyFont="1" applyFill="1" applyBorder="1" applyAlignment="1">
      <alignment horizontal="center" vertical="center" shrinkToFit="1"/>
    </xf>
    <xf numFmtId="0" fontId="14" fillId="0" borderId="86" xfId="9" applyFont="1" applyFill="1" applyBorder="1" applyAlignment="1">
      <alignment horizontal="center" vertical="center" shrinkToFit="1"/>
    </xf>
    <xf numFmtId="0" fontId="14" fillId="0" borderId="39" xfId="9" applyFont="1" applyFill="1" applyBorder="1" applyAlignment="1">
      <alignment horizontal="center" vertical="center" shrinkToFit="1"/>
    </xf>
    <xf numFmtId="0" fontId="15" fillId="0" borderId="44" xfId="9" applyFont="1" applyFill="1" applyBorder="1" applyAlignment="1">
      <alignment horizontal="center" vertical="center"/>
    </xf>
    <xf numFmtId="0" fontId="15" fillId="0" borderId="40" xfId="9" applyFont="1" applyFill="1" applyBorder="1" applyAlignment="1">
      <alignment horizontal="center" vertical="center"/>
    </xf>
    <xf numFmtId="0" fontId="15" fillId="0" borderId="39" xfId="9" applyFont="1" applyFill="1" applyBorder="1" applyAlignment="1">
      <alignment horizontal="center" vertical="center"/>
    </xf>
    <xf numFmtId="0" fontId="15" fillId="0" borderId="43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38" xfId="9" applyFont="1" applyFill="1" applyBorder="1" applyAlignment="1">
      <alignment horizontal="center" vertical="center"/>
    </xf>
    <xf numFmtId="182" fontId="15" fillId="0" borderId="89" xfId="9" applyNumberFormat="1" applyFont="1" applyFill="1" applyBorder="1" applyAlignment="1">
      <alignment vertical="center"/>
    </xf>
    <xf numFmtId="184" fontId="15" fillId="0" borderId="89" xfId="9" applyNumberFormat="1" applyFont="1" applyFill="1" applyBorder="1" applyAlignment="1">
      <alignment vertical="center"/>
    </xf>
    <xf numFmtId="0" fontId="14" fillId="0" borderId="40" xfId="9" applyFont="1" applyFill="1" applyBorder="1" applyAlignment="1">
      <alignment vertical="center" shrinkToFit="1"/>
    </xf>
    <xf numFmtId="0" fontId="14" fillId="0" borderId="107" xfId="9" applyFont="1" applyFill="1" applyBorder="1" applyAlignment="1">
      <alignment vertical="center" shrinkToFit="1"/>
    </xf>
    <xf numFmtId="0" fontId="14" fillId="0" borderId="0" xfId="9" applyFont="1" applyFill="1" applyBorder="1" applyAlignment="1">
      <alignment vertical="center" shrinkToFit="1"/>
    </xf>
    <xf numFmtId="0" fontId="14" fillId="0" borderId="101" xfId="9" applyFont="1" applyFill="1" applyBorder="1" applyAlignment="1">
      <alignment vertical="center" shrinkToFit="1"/>
    </xf>
    <xf numFmtId="0" fontId="14" fillId="0" borderId="113" xfId="9" applyFont="1" applyFill="1" applyBorder="1" applyAlignment="1">
      <alignment vertical="center" shrinkToFit="1"/>
    </xf>
    <xf numFmtId="0" fontId="14" fillId="0" borderId="112" xfId="9" applyFont="1" applyFill="1" applyBorder="1" applyAlignment="1">
      <alignment vertical="center" shrinkToFit="1"/>
    </xf>
    <xf numFmtId="182" fontId="15" fillId="0" borderId="8" xfId="9" applyNumberFormat="1" applyFont="1" applyFill="1" applyBorder="1" applyAlignment="1">
      <alignment horizontal="center" vertical="center"/>
    </xf>
    <xf numFmtId="38" fontId="15" fillId="0" borderId="8" xfId="13" applyFont="1" applyFill="1" applyBorder="1" applyAlignment="1">
      <alignment horizontal="right" vertical="center"/>
    </xf>
    <xf numFmtId="180" fontId="15" fillId="0" borderId="109" xfId="9" applyNumberFormat="1" applyFont="1" applyFill="1" applyBorder="1" applyAlignment="1">
      <alignment vertical="center"/>
    </xf>
    <xf numFmtId="180" fontId="15" fillId="0" borderId="14" xfId="9" applyNumberFormat="1" applyFont="1" applyFill="1" applyBorder="1" applyAlignment="1">
      <alignment vertical="center"/>
    </xf>
    <xf numFmtId="180" fontId="15" fillId="0" borderId="26" xfId="9" applyNumberFormat="1" applyFont="1" applyFill="1" applyBorder="1" applyAlignment="1">
      <alignment vertical="center"/>
    </xf>
    <xf numFmtId="182" fontId="15" fillId="0" borderId="14" xfId="9" applyNumberFormat="1" applyFont="1" applyFill="1" applyBorder="1" applyAlignment="1">
      <alignment horizontal="center" vertical="center"/>
    </xf>
    <xf numFmtId="38" fontId="15" fillId="0" borderId="14" xfId="13" applyFont="1" applyFill="1" applyBorder="1" applyAlignment="1">
      <alignment horizontal="right" vertical="center"/>
    </xf>
    <xf numFmtId="0" fontId="14" fillId="0" borderId="97" xfId="9" applyFont="1" applyFill="1" applyBorder="1" applyAlignment="1">
      <alignment horizontal="center" vertical="center"/>
    </xf>
    <xf numFmtId="0" fontId="14" fillId="0" borderId="28" xfId="9" applyFont="1" applyFill="1" applyBorder="1" applyAlignment="1">
      <alignment horizontal="center" vertical="center"/>
    </xf>
    <xf numFmtId="0" fontId="14" fillId="0" borderId="100" xfId="9" applyFont="1" applyFill="1" applyBorder="1" applyAlignment="1">
      <alignment horizontal="center" vertical="center"/>
    </xf>
    <xf numFmtId="180" fontId="14" fillId="0" borderId="99" xfId="9" applyNumberFormat="1" applyFont="1" applyFill="1" applyBorder="1" applyAlignment="1">
      <alignment vertical="center"/>
    </xf>
    <xf numFmtId="180" fontId="14" fillId="0" borderId="28" xfId="9" applyNumberFormat="1" applyFont="1" applyFill="1" applyBorder="1" applyAlignment="1">
      <alignment vertical="center"/>
    </xf>
    <xf numFmtId="180" fontId="14" fillId="0" borderId="98" xfId="9" applyNumberFormat="1" applyFont="1" applyFill="1" applyBorder="1" applyAlignment="1">
      <alignment vertical="center"/>
    </xf>
    <xf numFmtId="182" fontId="14" fillId="0" borderId="99" xfId="9" applyNumberFormat="1" applyFont="1" applyFill="1" applyBorder="1" applyAlignment="1">
      <alignment vertical="center"/>
    </xf>
    <xf numFmtId="182" fontId="14" fillId="0" borderId="28" xfId="9" applyNumberFormat="1" applyFont="1" applyFill="1" applyBorder="1" applyAlignment="1">
      <alignment vertical="center"/>
    </xf>
    <xf numFmtId="180" fontId="14" fillId="0" borderId="28" xfId="9" applyNumberFormat="1" applyFont="1" applyFill="1" applyBorder="1" applyAlignment="1">
      <alignment vertical="center" shrinkToFit="1"/>
    </xf>
    <xf numFmtId="180" fontId="14" fillId="0" borderId="98" xfId="9" applyNumberFormat="1" applyFont="1" applyFill="1" applyBorder="1" applyAlignment="1">
      <alignment vertical="center" shrinkToFit="1"/>
    </xf>
    <xf numFmtId="0" fontId="12" fillId="0" borderId="9" xfId="9" applyFont="1" applyFill="1" applyBorder="1" applyAlignment="1">
      <alignment horizontal="center" vertical="center"/>
    </xf>
    <xf numFmtId="0" fontId="12" fillId="0" borderId="12" xfId="9" applyFont="1" applyFill="1" applyBorder="1" applyAlignment="1">
      <alignment horizontal="center" vertical="center"/>
    </xf>
    <xf numFmtId="185" fontId="11" fillId="0" borderId="11" xfId="9" applyNumberFormat="1" applyFill="1" applyBorder="1" applyAlignment="1">
      <alignment horizontal="center" vertical="center"/>
    </xf>
    <xf numFmtId="0" fontId="11" fillId="0" borderId="11" xfId="9" applyFill="1" applyBorder="1" applyAlignment="1">
      <alignment horizontal="center" vertical="center"/>
    </xf>
    <xf numFmtId="0" fontId="11" fillId="0" borderId="11" xfId="9" applyFill="1" applyBorder="1" applyAlignment="1">
      <alignment horizontal="left" vertical="center"/>
    </xf>
    <xf numFmtId="0" fontId="11" fillId="0" borderId="10" xfId="9" applyFill="1" applyBorder="1" applyAlignment="1">
      <alignment horizontal="left" vertical="center"/>
    </xf>
    <xf numFmtId="0" fontId="12" fillId="0" borderId="22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/>
    </xf>
    <xf numFmtId="185" fontId="12" fillId="0" borderId="43" xfId="9" applyNumberFormat="1" applyFont="1" applyFill="1" applyBorder="1" applyAlignment="1">
      <alignment horizontal="right" vertical="center"/>
    </xf>
    <xf numFmtId="185" fontId="12" fillId="0" borderId="0" xfId="9" applyNumberFormat="1" applyFont="1" applyFill="1" applyBorder="1" applyAlignment="1">
      <alignment horizontal="right" vertical="center"/>
    </xf>
    <xf numFmtId="185" fontId="12" fillId="0" borderId="0" xfId="9" applyNumberFormat="1" applyFont="1" applyFill="1" applyBorder="1" applyAlignment="1">
      <alignment horizontal="left" vertical="center"/>
    </xf>
    <xf numFmtId="185" fontId="12" fillId="0" borderId="38" xfId="9" applyNumberFormat="1" applyFont="1" applyFill="1" applyBorder="1" applyAlignment="1">
      <alignment horizontal="left" vertical="center"/>
    </xf>
    <xf numFmtId="185" fontId="11" fillId="0" borderId="0" xfId="9" applyNumberFormat="1" applyFill="1" applyBorder="1" applyAlignment="1">
      <alignment horizontal="right" vertical="center"/>
    </xf>
    <xf numFmtId="0" fontId="11" fillId="0" borderId="0" xfId="9" applyFill="1" applyBorder="1" applyAlignment="1">
      <alignment horizontal="left" vertical="center"/>
    </xf>
    <xf numFmtId="0" fontId="11" fillId="0" borderId="101" xfId="9" applyFill="1" applyBorder="1" applyAlignment="1">
      <alignment horizontal="left" vertical="center"/>
    </xf>
    <xf numFmtId="0" fontId="12" fillId="0" borderId="121" xfId="9" applyFont="1" applyFill="1" applyBorder="1" applyAlignment="1">
      <alignment horizontal="center" vertical="center"/>
    </xf>
    <xf numFmtId="0" fontId="12" fillId="0" borderId="92" xfId="9" applyFont="1" applyFill="1" applyBorder="1" applyAlignment="1">
      <alignment horizontal="center" vertical="center"/>
    </xf>
    <xf numFmtId="0" fontId="12" fillId="0" borderId="93" xfId="9" applyFont="1" applyFill="1" applyBorder="1" applyAlignment="1">
      <alignment horizontal="center" vertical="center"/>
    </xf>
    <xf numFmtId="0" fontId="12" fillId="0" borderId="91" xfId="9" applyFont="1" applyFill="1" applyBorder="1" applyAlignment="1">
      <alignment horizontal="center" vertical="center"/>
    </xf>
    <xf numFmtId="0" fontId="11" fillId="0" borderId="92" xfId="9" applyFill="1" applyBorder="1" applyAlignment="1">
      <alignment horizontal="center" vertical="center"/>
    </xf>
    <xf numFmtId="0" fontId="11" fillId="0" borderId="122" xfId="9" applyFill="1" applyBorder="1" applyAlignment="1">
      <alignment horizontal="center" vertical="center"/>
    </xf>
    <xf numFmtId="183" fontId="15" fillId="0" borderId="43" xfId="9" applyNumberFormat="1" applyFont="1" applyFill="1" applyBorder="1" applyAlignment="1">
      <alignment vertical="center"/>
    </xf>
    <xf numFmtId="183" fontId="15" fillId="0" borderId="0" xfId="9" applyNumberFormat="1" applyFont="1" applyFill="1" applyBorder="1" applyAlignment="1">
      <alignment vertical="center"/>
    </xf>
    <xf numFmtId="183" fontId="15" fillId="0" borderId="99" xfId="9" applyNumberFormat="1" applyFont="1" applyFill="1" applyBorder="1" applyAlignment="1">
      <alignment vertical="center"/>
    </xf>
    <xf numFmtId="183" fontId="15" fillId="0" borderId="28" xfId="9" applyNumberFormat="1" applyFont="1" applyFill="1" applyBorder="1" applyAlignment="1">
      <alignment vertical="center"/>
    </xf>
    <xf numFmtId="0" fontId="12" fillId="0" borderId="97" xfId="9" applyFont="1" applyFill="1" applyBorder="1" applyAlignment="1">
      <alignment horizontal="center" vertical="center"/>
    </xf>
    <xf numFmtId="0" fontId="12" fillId="0" borderId="28" xfId="9" applyFont="1" applyFill="1" applyBorder="1" applyAlignment="1">
      <alignment horizontal="center" vertical="center"/>
    </xf>
    <xf numFmtId="185" fontId="12" fillId="0" borderId="99" xfId="9" applyNumberFormat="1" applyFont="1" applyFill="1" applyBorder="1" applyAlignment="1">
      <alignment horizontal="right" vertical="center"/>
    </xf>
    <xf numFmtId="185" fontId="12" fillId="0" borderId="28" xfId="9" applyNumberFormat="1" applyFont="1" applyFill="1" applyBorder="1" applyAlignment="1">
      <alignment horizontal="right" vertical="center"/>
    </xf>
    <xf numFmtId="185" fontId="12" fillId="0" borderId="28" xfId="9" applyNumberFormat="1" applyFont="1" applyFill="1" applyBorder="1" applyAlignment="1">
      <alignment horizontal="left" vertical="center"/>
    </xf>
    <xf numFmtId="185" fontId="12" fillId="0" borderId="100" xfId="9" applyNumberFormat="1" applyFont="1" applyFill="1" applyBorder="1" applyAlignment="1">
      <alignment horizontal="left" vertical="center"/>
    </xf>
    <xf numFmtId="185" fontId="11" fillId="0" borderId="28" xfId="9" applyNumberFormat="1" applyFill="1" applyBorder="1" applyAlignment="1">
      <alignment horizontal="right" vertical="center"/>
    </xf>
    <xf numFmtId="0" fontId="15" fillId="0" borderId="121" xfId="9" applyFont="1" applyFill="1" applyBorder="1" applyAlignment="1">
      <alignment horizontal="center" vertical="center"/>
    </xf>
    <xf numFmtId="0" fontId="15" fillId="0" borderId="91" xfId="9" applyFont="1" applyFill="1" applyBorder="1" applyAlignment="1">
      <alignment horizontal="center" vertical="center"/>
    </xf>
    <xf numFmtId="180" fontId="15" fillId="0" borderId="109" xfId="9" applyNumberFormat="1" applyFont="1" applyFill="1" applyBorder="1" applyAlignment="1">
      <alignment horizontal="center" vertical="center"/>
    </xf>
    <xf numFmtId="180" fontId="15" fillId="0" borderId="14" xfId="9" applyNumberFormat="1" applyFont="1" applyFill="1" applyBorder="1" applyAlignment="1">
      <alignment horizontal="center" vertical="center"/>
    </xf>
    <xf numFmtId="180" fontId="15" fillId="0" borderId="26" xfId="9" applyNumberFormat="1" applyFont="1" applyFill="1" applyBorder="1" applyAlignment="1">
      <alignment horizontal="center" vertical="center"/>
    </xf>
    <xf numFmtId="0" fontId="15" fillId="0" borderId="165" xfId="9" applyFont="1" applyFill="1" applyBorder="1" applyAlignment="1">
      <alignment horizontal="center" vertical="center"/>
    </xf>
    <xf numFmtId="0" fontId="15" fillId="0" borderId="189" xfId="9" applyFont="1" applyFill="1" applyBorder="1" applyAlignment="1">
      <alignment horizontal="center" vertical="center"/>
    </xf>
    <xf numFmtId="0" fontId="15" fillId="0" borderId="157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vertical="center" shrinkToFit="1"/>
    </xf>
    <xf numFmtId="0" fontId="15" fillId="0" borderId="38" xfId="9" applyFont="1" applyFill="1" applyBorder="1" applyAlignment="1">
      <alignment vertical="center" shrinkToFit="1"/>
    </xf>
    <xf numFmtId="0" fontId="15" fillId="0" borderId="28" xfId="9" applyFont="1" applyFill="1" applyBorder="1" applyAlignment="1">
      <alignment vertical="center" shrinkToFit="1"/>
    </xf>
    <xf numFmtId="0" fontId="15" fillId="0" borderId="100" xfId="9" applyFont="1" applyFill="1" applyBorder="1" applyAlignment="1">
      <alignment vertical="center" shrinkToFit="1"/>
    </xf>
    <xf numFmtId="0" fontId="15" fillId="0" borderId="22" xfId="9" applyFont="1" applyFill="1" applyBorder="1" applyAlignment="1">
      <alignment vertical="center"/>
    </xf>
    <xf numFmtId="0" fontId="15" fillId="0" borderId="0" xfId="9" applyFont="1" applyFill="1" applyBorder="1" applyAlignment="1">
      <alignment vertical="center"/>
    </xf>
    <xf numFmtId="0" fontId="15" fillId="0" borderId="114" xfId="9" applyFont="1" applyFill="1" applyBorder="1" applyAlignment="1">
      <alignment vertical="center"/>
    </xf>
    <xf numFmtId="0" fontId="15" fillId="0" borderId="113" xfId="9" applyFont="1" applyFill="1" applyBorder="1" applyAlignment="1">
      <alignment vertical="center"/>
    </xf>
    <xf numFmtId="183" fontId="15" fillId="0" borderId="33" xfId="9" applyNumberFormat="1" applyFont="1" applyFill="1" applyBorder="1" applyAlignment="1">
      <alignment vertical="center"/>
    </xf>
    <xf numFmtId="183" fontId="15" fillId="0" borderId="113" xfId="9" applyNumberFormat="1" applyFont="1" applyFill="1" applyBorder="1" applyAlignment="1">
      <alignment vertical="center"/>
    </xf>
    <xf numFmtId="0" fontId="15" fillId="0" borderId="113" xfId="9" applyFont="1" applyFill="1" applyBorder="1" applyAlignment="1">
      <alignment vertical="center" shrinkToFit="1"/>
    </xf>
    <xf numFmtId="0" fontId="15" fillId="0" borderId="41" xfId="9" applyFont="1" applyFill="1" applyBorder="1" applyAlignment="1">
      <alignment vertical="center" shrinkToFit="1"/>
    </xf>
    <xf numFmtId="182" fontId="15" fillId="0" borderId="43" xfId="9" applyNumberFormat="1" applyFont="1" applyFill="1" applyBorder="1" applyAlignment="1">
      <alignment vertical="center"/>
    </xf>
    <xf numFmtId="182" fontId="15" fillId="0" borderId="0" xfId="9" applyNumberFormat="1" applyFont="1" applyFill="1" applyBorder="1" applyAlignment="1">
      <alignment vertical="center"/>
    </xf>
    <xf numFmtId="182" fontId="15" fillId="0" borderId="33" xfId="9" applyNumberFormat="1" applyFont="1" applyFill="1" applyBorder="1" applyAlignment="1">
      <alignment vertical="center"/>
    </xf>
    <xf numFmtId="182" fontId="15" fillId="0" borderId="113" xfId="9" applyNumberFormat="1" applyFont="1" applyFill="1" applyBorder="1" applyAlignment="1">
      <alignment vertical="center"/>
    </xf>
    <xf numFmtId="0" fontId="11" fillId="0" borderId="28" xfId="9" applyFill="1" applyBorder="1" applyAlignment="1">
      <alignment horizontal="left" vertical="center"/>
    </xf>
    <xf numFmtId="0" fontId="11" fillId="0" borderId="98" xfId="9" applyFill="1" applyBorder="1" applyAlignment="1">
      <alignment horizontal="left" vertical="center"/>
    </xf>
    <xf numFmtId="0" fontId="15" fillId="0" borderId="97" xfId="9" applyFont="1" applyFill="1" applyBorder="1" applyAlignment="1">
      <alignment vertical="center"/>
    </xf>
    <xf numFmtId="0" fontId="15" fillId="0" borderId="28" xfId="9" applyFont="1" applyFill="1" applyBorder="1" applyAlignment="1">
      <alignment vertical="center"/>
    </xf>
    <xf numFmtId="0" fontId="15" fillId="0" borderId="108" xfId="9" applyFont="1" applyFill="1" applyBorder="1" applyAlignment="1">
      <alignment vertical="center"/>
    </xf>
    <xf numFmtId="0" fontId="15" fillId="0" borderId="40" xfId="9" applyFont="1" applyFill="1" applyBorder="1" applyAlignment="1">
      <alignment vertical="center"/>
    </xf>
    <xf numFmtId="0" fontId="15" fillId="0" borderId="39" xfId="9" applyFont="1" applyFill="1" applyBorder="1" applyAlignment="1">
      <alignment vertical="center"/>
    </xf>
    <xf numFmtId="0" fontId="15" fillId="0" borderId="38" xfId="9" applyFont="1" applyFill="1" applyBorder="1" applyAlignment="1">
      <alignment vertical="center"/>
    </xf>
    <xf numFmtId="0" fontId="15" fillId="0" borderId="100" xfId="9" applyFont="1" applyFill="1" applyBorder="1" applyAlignment="1">
      <alignment vertical="center"/>
    </xf>
    <xf numFmtId="0" fontId="15" fillId="0" borderId="44" xfId="9" applyFont="1" applyFill="1" applyBorder="1" applyAlignment="1">
      <alignment horizontal="center" vertical="center" wrapText="1"/>
    </xf>
    <xf numFmtId="180" fontId="15" fillId="0" borderId="89" xfId="9" applyNumberFormat="1" applyFont="1" applyFill="1" applyBorder="1" applyAlignment="1">
      <alignment horizontal="center" vertical="center"/>
    </xf>
    <xf numFmtId="180" fontId="15" fillId="0" borderId="76" xfId="9" applyNumberFormat="1" applyFont="1" applyFill="1" applyBorder="1" applyAlignment="1">
      <alignment vertical="center"/>
    </xf>
    <xf numFmtId="180" fontId="15" fillId="0" borderId="89" xfId="9" applyNumberFormat="1" applyFont="1" applyFill="1" applyBorder="1" applyAlignment="1">
      <alignment vertical="center"/>
    </xf>
    <xf numFmtId="180" fontId="15" fillId="0" borderId="117" xfId="9" applyNumberFormat="1" applyFont="1" applyFill="1" applyBorder="1" applyAlignment="1">
      <alignment vertical="center"/>
    </xf>
    <xf numFmtId="0" fontId="15" fillId="0" borderId="16" xfId="9" applyFont="1" applyFill="1" applyBorder="1" applyAlignment="1">
      <alignment vertical="center"/>
    </xf>
    <xf numFmtId="0" fontId="15" fillId="0" borderId="14" xfId="9" applyFont="1" applyFill="1" applyBorder="1" applyAlignment="1">
      <alignment vertical="center"/>
    </xf>
    <xf numFmtId="0" fontId="15" fillId="0" borderId="20" xfId="9" applyFont="1" applyFill="1" applyBorder="1" applyAlignment="1">
      <alignment vertical="center"/>
    </xf>
    <xf numFmtId="0" fontId="15" fillId="0" borderId="83" xfId="9" applyFont="1" applyFill="1" applyBorder="1" applyAlignment="1">
      <alignment vertical="center"/>
    </xf>
    <xf numFmtId="38" fontId="15" fillId="0" borderId="0" xfId="13" applyFont="1" applyFill="1" applyBorder="1" applyAlignment="1">
      <alignment horizontal="right" vertical="center"/>
    </xf>
    <xf numFmtId="180" fontId="15" fillId="0" borderId="70" xfId="9" applyNumberFormat="1" applyFont="1" applyFill="1" applyBorder="1" applyAlignment="1">
      <alignment vertical="center"/>
    </xf>
    <xf numFmtId="180" fontId="15" fillId="0" borderId="8" xfId="9" applyNumberFormat="1" applyFont="1" applyFill="1" applyBorder="1" applyAlignment="1">
      <alignment vertical="center"/>
    </xf>
    <xf numFmtId="180" fontId="15" fillId="0" borderId="18" xfId="9" applyNumberFormat="1" applyFont="1" applyFill="1" applyBorder="1" applyAlignment="1">
      <alignment vertical="center"/>
    </xf>
    <xf numFmtId="38" fontId="15" fillId="0" borderId="189" xfId="13" applyFont="1" applyFill="1" applyBorder="1" applyAlignment="1">
      <alignment horizontal="right" vertical="center" shrinkToFit="1"/>
    </xf>
    <xf numFmtId="180" fontId="15" fillId="0" borderId="165" xfId="9" applyNumberFormat="1" applyFont="1" applyFill="1" applyBorder="1" applyAlignment="1">
      <alignment vertical="center"/>
    </xf>
    <xf numFmtId="180" fontId="15" fillId="0" borderId="189" xfId="9" applyNumberFormat="1" applyFont="1" applyFill="1" applyBorder="1" applyAlignment="1">
      <alignment vertical="center"/>
    </xf>
    <xf numFmtId="180" fontId="15" fillId="0" borderId="156" xfId="9" applyNumberFormat="1" applyFont="1" applyFill="1" applyBorder="1" applyAlignment="1">
      <alignment vertical="center"/>
    </xf>
    <xf numFmtId="182" fontId="15" fillId="0" borderId="109" xfId="9" applyNumberFormat="1" applyFont="1" applyFill="1" applyBorder="1" applyAlignment="1">
      <alignment vertical="center"/>
    </xf>
    <xf numFmtId="182" fontId="15" fillId="0" borderId="14" xfId="9" applyNumberFormat="1" applyFont="1" applyFill="1" applyBorder="1" applyAlignment="1">
      <alignment vertical="center"/>
    </xf>
    <xf numFmtId="177" fontId="15" fillId="0" borderId="14" xfId="9" applyNumberFormat="1" applyFont="1" applyFill="1" applyBorder="1" applyAlignment="1">
      <alignment vertical="center"/>
    </xf>
    <xf numFmtId="0" fontId="15" fillId="0" borderId="108" xfId="9" applyFont="1" applyFill="1" applyBorder="1" applyAlignment="1">
      <alignment vertical="center" wrapText="1"/>
    </xf>
    <xf numFmtId="183" fontId="15" fillId="0" borderId="44" xfId="9" applyNumberFormat="1" applyFont="1" applyFill="1" applyBorder="1" applyAlignment="1">
      <alignment vertical="center"/>
    </xf>
    <xf numFmtId="183" fontId="15" fillId="0" borderId="40" xfId="9" applyNumberFormat="1" applyFont="1" applyFill="1" applyBorder="1" applyAlignment="1">
      <alignment vertical="center"/>
    </xf>
    <xf numFmtId="0" fontId="15" fillId="0" borderId="40" xfId="9" applyFont="1" applyFill="1" applyBorder="1" applyAlignment="1">
      <alignment vertical="center" shrinkToFit="1"/>
    </xf>
    <xf numFmtId="0" fontId="15" fillId="0" borderId="39" xfId="9" applyFont="1" applyFill="1" applyBorder="1" applyAlignment="1">
      <alignment vertical="center" shrinkToFit="1"/>
    </xf>
    <xf numFmtId="182" fontId="15" fillId="0" borderId="44" xfId="9" applyNumberFormat="1" applyFont="1" applyFill="1" applyBorder="1" applyAlignment="1">
      <alignment vertical="center"/>
    </xf>
    <xf numFmtId="182" fontId="15" fillId="0" borderId="40" xfId="9" applyNumberFormat="1" applyFont="1" applyFill="1" applyBorder="1" applyAlignment="1">
      <alignment vertical="center"/>
    </xf>
    <xf numFmtId="0" fontId="15" fillId="0" borderId="8" xfId="9" applyFont="1" applyFill="1" applyBorder="1" applyAlignment="1">
      <alignment horizontal="center" vertical="center"/>
    </xf>
    <xf numFmtId="177" fontId="15" fillId="0" borderId="191" xfId="9" applyNumberFormat="1" applyFont="1" applyFill="1" applyBorder="1" applyAlignment="1">
      <alignment vertical="center"/>
    </xf>
    <xf numFmtId="38" fontId="15" fillId="0" borderId="191" xfId="13" applyFont="1" applyFill="1" applyBorder="1" applyAlignment="1">
      <alignment horizontal="right" vertical="center"/>
    </xf>
    <xf numFmtId="0" fontId="15" fillId="0" borderId="190" xfId="9" applyFont="1" applyFill="1" applyBorder="1" applyAlignment="1">
      <alignment horizontal="center" vertical="center"/>
    </xf>
    <xf numFmtId="0" fontId="15" fillId="0" borderId="191" xfId="9" applyFont="1" applyFill="1" applyBorder="1" applyAlignment="1">
      <alignment horizontal="center" vertical="center"/>
    </xf>
    <xf numFmtId="0" fontId="15" fillId="0" borderId="192" xfId="9" applyFont="1" applyFill="1" applyBorder="1" applyAlignment="1">
      <alignment horizontal="center" vertical="center"/>
    </xf>
    <xf numFmtId="180" fontId="15" fillId="0" borderId="190" xfId="9" applyNumberFormat="1" applyFont="1" applyFill="1" applyBorder="1" applyAlignment="1">
      <alignment vertical="center"/>
    </xf>
    <xf numFmtId="180" fontId="15" fillId="0" borderId="191" xfId="9" applyNumberFormat="1" applyFont="1" applyFill="1" applyBorder="1" applyAlignment="1">
      <alignment vertical="center"/>
    </xf>
    <xf numFmtId="180" fontId="15" fillId="0" borderId="193" xfId="9" applyNumberFormat="1" applyFont="1" applyFill="1" applyBorder="1" applyAlignment="1">
      <alignment vertical="center"/>
    </xf>
    <xf numFmtId="0" fontId="15" fillId="0" borderId="107" xfId="9" applyFont="1" applyFill="1" applyBorder="1" applyAlignment="1">
      <alignment vertical="center" shrinkToFit="1"/>
    </xf>
    <xf numFmtId="0" fontId="15" fillId="0" borderId="101" xfId="9" applyFont="1" applyFill="1" applyBorder="1" applyAlignment="1">
      <alignment vertical="center" shrinkToFit="1"/>
    </xf>
    <xf numFmtId="0" fontId="15" fillId="0" borderId="109" xfId="9" applyFont="1" applyFill="1" applyBorder="1" applyAlignment="1">
      <alignment vertical="center"/>
    </xf>
    <xf numFmtId="0" fontId="15" fillId="0" borderId="43" xfId="9" applyFont="1" applyFill="1" applyBorder="1" applyAlignment="1">
      <alignment vertical="center"/>
    </xf>
    <xf numFmtId="0" fontId="15" fillId="0" borderId="21" xfId="9" applyFont="1" applyFill="1" applyBorder="1" applyAlignment="1">
      <alignment vertical="center"/>
    </xf>
    <xf numFmtId="0" fontId="15" fillId="0" borderId="5" xfId="9" applyFont="1" applyFill="1" applyBorder="1" applyAlignment="1">
      <alignment vertical="center"/>
    </xf>
    <xf numFmtId="0" fontId="15" fillId="0" borderId="119" xfId="9" applyFont="1" applyFill="1" applyBorder="1" applyAlignment="1">
      <alignment horizontal="center" vertical="center"/>
    </xf>
    <xf numFmtId="0" fontId="15" fillId="0" borderId="102" xfId="9" applyFont="1" applyFill="1" applyBorder="1" applyAlignment="1">
      <alignment horizontal="center" vertical="center"/>
    </xf>
    <xf numFmtId="0" fontId="15" fillId="0" borderId="120" xfId="9" applyFont="1" applyFill="1" applyBorder="1" applyAlignment="1">
      <alignment horizontal="center" vertical="center"/>
    </xf>
    <xf numFmtId="0" fontId="15" fillId="0" borderId="118" xfId="9" applyFont="1" applyFill="1" applyBorder="1" applyAlignment="1">
      <alignment horizontal="center" vertical="center"/>
    </xf>
    <xf numFmtId="182" fontId="15" fillId="0" borderId="99" xfId="9" applyNumberFormat="1" applyFont="1" applyFill="1" applyBorder="1" applyAlignment="1">
      <alignment vertical="center"/>
    </xf>
    <xf numFmtId="182" fontId="15" fillId="0" borderId="28" xfId="9" applyNumberFormat="1" applyFont="1" applyFill="1" applyBorder="1" applyAlignment="1">
      <alignment vertical="center"/>
    </xf>
    <xf numFmtId="0" fontId="14" fillId="0" borderId="28" xfId="9" applyFont="1" applyFill="1" applyBorder="1" applyAlignment="1">
      <alignment vertical="center" shrinkToFit="1"/>
    </xf>
    <xf numFmtId="0" fontId="14" fillId="0" borderId="98" xfId="9" applyFont="1" applyFill="1" applyBorder="1" applyAlignment="1">
      <alignment vertical="center" shrinkToFit="1"/>
    </xf>
    <xf numFmtId="0" fontId="15" fillId="0" borderId="166" xfId="9" applyFont="1" applyFill="1" applyBorder="1" applyAlignment="1">
      <alignment horizontal="center" vertical="center"/>
    </xf>
    <xf numFmtId="0" fontId="15" fillId="0" borderId="84" xfId="9" applyFont="1" applyFill="1" applyBorder="1" applyAlignment="1">
      <alignment horizontal="center" vertical="center"/>
    </xf>
    <xf numFmtId="0" fontId="15" fillId="0" borderId="40" xfId="9" applyFont="1" applyFill="1" applyBorder="1" applyAlignment="1">
      <alignment horizontal="left" vertical="center"/>
    </xf>
    <xf numFmtId="0" fontId="15" fillId="0" borderId="39" xfId="9" applyFont="1" applyFill="1" applyBorder="1" applyAlignment="1">
      <alignment horizontal="left" vertical="center"/>
    </xf>
    <xf numFmtId="0" fontId="15" fillId="0" borderId="0" xfId="9" applyFont="1" applyFill="1" applyBorder="1" applyAlignment="1">
      <alignment horizontal="left" vertical="center"/>
    </xf>
    <xf numFmtId="0" fontId="15" fillId="0" borderId="38" xfId="9" applyFont="1" applyFill="1" applyBorder="1" applyAlignment="1">
      <alignment horizontal="left" vertical="center"/>
    </xf>
    <xf numFmtId="0" fontId="15" fillId="0" borderId="113" xfId="9" applyFont="1" applyFill="1" applyBorder="1" applyAlignment="1">
      <alignment horizontal="left" vertical="center"/>
    </xf>
    <xf numFmtId="0" fontId="15" fillId="0" borderId="41" xfId="9" applyFont="1" applyFill="1" applyBorder="1" applyAlignment="1">
      <alignment horizontal="left" vertical="center"/>
    </xf>
    <xf numFmtId="0" fontId="14" fillId="0" borderId="121" xfId="9" applyFont="1" applyFill="1" applyBorder="1" applyAlignment="1">
      <alignment horizontal="center" vertical="center"/>
    </xf>
    <xf numFmtId="0" fontId="14" fillId="0" borderId="92" xfId="9" applyFont="1" applyFill="1" applyBorder="1" applyAlignment="1">
      <alignment horizontal="center" vertical="center"/>
    </xf>
    <xf numFmtId="0" fontId="14" fillId="0" borderId="93" xfId="9" applyFont="1" applyFill="1" applyBorder="1" applyAlignment="1">
      <alignment horizontal="center" vertical="center"/>
    </xf>
    <xf numFmtId="0" fontId="14" fillId="0" borderId="91" xfId="9" applyFont="1" applyFill="1" applyBorder="1" applyAlignment="1">
      <alignment horizontal="center" vertical="center"/>
    </xf>
    <xf numFmtId="0" fontId="14" fillId="0" borderId="122" xfId="9" applyFont="1" applyFill="1" applyBorder="1" applyAlignment="1">
      <alignment horizontal="center" vertical="center"/>
    </xf>
    <xf numFmtId="38" fontId="15" fillId="0" borderId="189" xfId="13" applyFont="1" applyFill="1" applyBorder="1" applyAlignment="1">
      <alignment horizontal="right" vertical="center"/>
    </xf>
    <xf numFmtId="177" fontId="15" fillId="0" borderId="8" xfId="9" applyNumberFormat="1" applyFont="1" applyFill="1" applyBorder="1" applyAlignment="1">
      <alignment horizontal="center" vertical="center"/>
    </xf>
    <xf numFmtId="180" fontId="15" fillId="0" borderId="70" xfId="9" applyNumberFormat="1" applyFont="1" applyFill="1" applyBorder="1" applyAlignment="1">
      <alignment horizontal="center" vertical="center"/>
    </xf>
    <xf numFmtId="180" fontId="15" fillId="0" borderId="8" xfId="9" applyNumberFormat="1" applyFont="1" applyFill="1" applyBorder="1" applyAlignment="1">
      <alignment horizontal="center" vertical="center"/>
    </xf>
    <xf numFmtId="180" fontId="15" fillId="0" borderId="18" xfId="9" applyNumberFormat="1" applyFont="1" applyFill="1" applyBorder="1" applyAlignment="1">
      <alignment horizontal="center" vertical="center"/>
    </xf>
    <xf numFmtId="182" fontId="15" fillId="0" borderId="70" xfId="9" applyNumberFormat="1" applyFont="1" applyFill="1" applyBorder="1" applyAlignment="1">
      <alignment vertical="center"/>
    </xf>
    <xf numFmtId="182" fontId="15" fillId="0" borderId="8" xfId="9" applyNumberFormat="1" applyFont="1" applyFill="1" applyBorder="1" applyAlignment="1">
      <alignment vertical="center"/>
    </xf>
    <xf numFmtId="0" fontId="15" fillId="0" borderId="66" xfId="9" applyFont="1" applyFill="1" applyBorder="1" applyAlignment="1">
      <alignment horizontal="center" vertical="center"/>
    </xf>
    <xf numFmtId="0" fontId="15" fillId="0" borderId="116" xfId="9" applyFont="1" applyFill="1" applyBorder="1" applyAlignment="1">
      <alignment horizontal="center" vertical="center"/>
    </xf>
    <xf numFmtId="0" fontId="15" fillId="0" borderId="77" xfId="9" applyFont="1" applyFill="1" applyBorder="1" applyAlignment="1">
      <alignment horizontal="center" vertical="center"/>
    </xf>
    <xf numFmtId="38" fontId="15" fillId="0" borderId="116" xfId="15" applyFont="1" applyFill="1" applyBorder="1" applyAlignment="1">
      <alignment horizontal="center" vertical="center"/>
    </xf>
    <xf numFmtId="180" fontId="15" fillId="0" borderId="66" xfId="9" applyNumberFormat="1" applyFont="1" applyFill="1" applyBorder="1" applyAlignment="1">
      <alignment vertical="center"/>
    </xf>
    <xf numFmtId="180" fontId="15" fillId="0" borderId="116" xfId="9" applyNumberFormat="1" applyFont="1" applyFill="1" applyBorder="1" applyAlignment="1">
      <alignment vertical="center"/>
    </xf>
    <xf numFmtId="180" fontId="15" fillId="0" borderId="115" xfId="9" applyNumberFormat="1" applyFont="1" applyFill="1" applyBorder="1" applyAlignment="1">
      <alignment vertical="center"/>
    </xf>
    <xf numFmtId="177" fontId="15" fillId="0" borderId="116" xfId="9" applyNumberFormat="1" applyFont="1" applyFill="1" applyBorder="1" applyAlignment="1">
      <alignment horizontal="center" vertical="center" shrinkToFit="1"/>
    </xf>
    <xf numFmtId="177" fontId="15" fillId="0" borderId="116" xfId="9" applyNumberFormat="1" applyFont="1" applyFill="1" applyBorder="1" applyAlignment="1">
      <alignment vertical="center"/>
    </xf>
    <xf numFmtId="0" fontId="15" fillId="0" borderId="112" xfId="9" applyFont="1" applyFill="1" applyBorder="1" applyAlignment="1">
      <alignment vertical="center" shrinkToFit="1"/>
    </xf>
    <xf numFmtId="0" fontId="15" fillId="0" borderId="22" xfId="9" applyFont="1" applyFill="1" applyBorder="1" applyAlignment="1">
      <alignment vertical="center" wrapText="1"/>
    </xf>
    <xf numFmtId="38" fontId="15" fillId="0" borderId="8" xfId="13" applyFont="1" applyFill="1" applyBorder="1" applyAlignment="1">
      <alignment horizontal="center" vertical="center"/>
    </xf>
    <xf numFmtId="180" fontId="14" fillId="0" borderId="52" xfId="9" applyNumberFormat="1" applyFont="1" applyFill="1" applyBorder="1">
      <alignment vertical="center"/>
    </xf>
    <xf numFmtId="180" fontId="14" fillId="0" borderId="57" xfId="9" applyNumberFormat="1" applyFont="1" applyFill="1" applyBorder="1">
      <alignment vertical="center"/>
    </xf>
    <xf numFmtId="180" fontId="14" fillId="0" borderId="106" xfId="9" applyNumberFormat="1" applyFont="1" applyFill="1" applyBorder="1">
      <alignment vertical="center"/>
    </xf>
    <xf numFmtId="0" fontId="14" fillId="0" borderId="57" xfId="9" applyFont="1" applyFill="1" applyBorder="1" applyAlignment="1">
      <alignment horizontal="right" vertical="center"/>
    </xf>
    <xf numFmtId="0" fontId="14" fillId="0" borderId="53" xfId="9" applyFont="1" applyFill="1" applyBorder="1" applyAlignment="1">
      <alignment horizontal="right" vertical="center"/>
    </xf>
    <xf numFmtId="0" fontId="14" fillId="0" borderId="56" xfId="9" applyFont="1" applyFill="1" applyBorder="1" applyAlignment="1">
      <alignment horizontal="right" vertical="center"/>
    </xf>
    <xf numFmtId="177" fontId="14" fillId="0" borderId="105" xfId="9" applyNumberFormat="1" applyFont="1" applyFill="1" applyBorder="1" applyAlignment="1">
      <alignment vertical="center"/>
    </xf>
    <xf numFmtId="177" fontId="14" fillId="0" borderId="104" xfId="9" applyNumberFormat="1" applyFont="1" applyFill="1" applyBorder="1" applyAlignment="1">
      <alignment vertical="center"/>
    </xf>
    <xf numFmtId="0" fontId="16" fillId="0" borderId="105" xfId="9" applyFont="1" applyFill="1" applyBorder="1" applyAlignment="1">
      <alignment vertical="center" shrinkToFit="1"/>
    </xf>
    <xf numFmtId="0" fontId="16" fillId="0" borderId="104" xfId="9" applyFont="1" applyFill="1" applyBorder="1" applyAlignment="1">
      <alignment vertical="center" shrinkToFit="1"/>
    </xf>
    <xf numFmtId="0" fontId="16" fillId="0" borderId="103" xfId="9" applyFont="1" applyFill="1" applyBorder="1" applyAlignment="1">
      <alignment vertical="center" shrinkToFit="1"/>
    </xf>
    <xf numFmtId="0" fontId="16" fillId="0" borderId="127" xfId="9" applyFont="1" applyFill="1" applyBorder="1" applyAlignment="1">
      <alignment vertical="center" shrinkToFit="1"/>
    </xf>
    <xf numFmtId="0" fontId="16" fillId="0" borderId="126" xfId="9" applyFont="1" applyFill="1" applyBorder="1" applyAlignment="1">
      <alignment vertical="center" shrinkToFit="1"/>
    </xf>
    <xf numFmtId="0" fontId="16" fillId="0" borderId="125" xfId="9" applyFont="1" applyFill="1" applyBorder="1" applyAlignment="1">
      <alignment vertical="center" shrinkToFit="1"/>
    </xf>
    <xf numFmtId="0" fontId="14" fillId="0" borderId="105" xfId="9" applyFont="1" applyFill="1" applyBorder="1" applyAlignment="1">
      <alignment vertical="center"/>
    </xf>
    <xf numFmtId="0" fontId="14" fillId="0" borderId="106" xfId="9" applyFont="1" applyFill="1" applyBorder="1" applyAlignment="1">
      <alignment vertical="center"/>
    </xf>
    <xf numFmtId="177" fontId="14" fillId="0" borderId="55" xfId="9" applyNumberFormat="1" applyFont="1" applyFill="1" applyBorder="1" applyAlignment="1">
      <alignment horizontal="right" vertical="center"/>
    </xf>
    <xf numFmtId="177" fontId="14" fillId="0" borderId="53" xfId="9" applyNumberFormat="1" applyFont="1" applyFill="1" applyBorder="1" applyAlignment="1">
      <alignment horizontal="right" vertical="center"/>
    </xf>
    <xf numFmtId="177" fontId="14" fillId="0" borderId="56" xfId="9" applyNumberFormat="1" applyFont="1" applyFill="1" applyBorder="1" applyAlignment="1">
      <alignment horizontal="right" vertical="center"/>
    </xf>
    <xf numFmtId="0" fontId="14" fillId="0" borderId="55" xfId="9" applyFont="1" applyFill="1" applyBorder="1" applyAlignment="1">
      <alignment horizontal="right" vertical="center"/>
    </xf>
    <xf numFmtId="0" fontId="14" fillId="0" borderId="52" xfId="9" applyFont="1" applyFill="1" applyBorder="1" applyAlignment="1">
      <alignment horizontal="right" vertical="center"/>
    </xf>
    <xf numFmtId="180" fontId="14" fillId="0" borderId="55" xfId="9" applyNumberFormat="1" applyFont="1" applyFill="1" applyBorder="1">
      <alignment vertical="center"/>
    </xf>
    <xf numFmtId="180" fontId="14" fillId="0" borderId="53" xfId="9" applyNumberFormat="1" applyFont="1" applyFill="1" applyBorder="1">
      <alignment vertical="center"/>
    </xf>
    <xf numFmtId="0" fontId="14" fillId="0" borderId="129" xfId="9" applyFont="1" applyFill="1" applyBorder="1" applyAlignment="1">
      <alignment horizontal="right" vertical="center"/>
    </xf>
    <xf numFmtId="0" fontId="14" fillId="0" borderId="128" xfId="9" applyFont="1" applyFill="1" applyBorder="1" applyAlignment="1">
      <alignment horizontal="right" vertical="center"/>
    </xf>
    <xf numFmtId="0" fontId="14" fillId="0" borderId="130" xfId="9" applyFont="1" applyFill="1" applyBorder="1" applyAlignment="1">
      <alignment horizontal="right" vertical="center"/>
    </xf>
    <xf numFmtId="177" fontId="14" fillId="0" borderId="127" xfId="9" applyNumberFormat="1" applyFont="1" applyFill="1" applyBorder="1" applyAlignment="1">
      <alignment vertical="center"/>
    </xf>
    <xf numFmtId="177" fontId="14" fillId="0" borderId="126" xfId="9" applyNumberFormat="1" applyFont="1" applyFill="1" applyBorder="1" applyAlignment="1">
      <alignment vertical="center"/>
    </xf>
    <xf numFmtId="177" fontId="14" fillId="0" borderId="52" xfId="9" applyNumberFormat="1" applyFont="1" applyFill="1" applyBorder="1">
      <alignment vertical="center"/>
    </xf>
    <xf numFmtId="177" fontId="14" fillId="0" borderId="57" xfId="9" applyNumberFormat="1" applyFont="1" applyFill="1" applyBorder="1">
      <alignment vertical="center"/>
    </xf>
    <xf numFmtId="177" fontId="14" fillId="0" borderId="106" xfId="9" applyNumberFormat="1" applyFont="1" applyFill="1" applyBorder="1">
      <alignment vertical="center"/>
    </xf>
    <xf numFmtId="180" fontId="14" fillId="0" borderId="20" xfId="9" applyNumberFormat="1" applyFont="1" applyFill="1" applyBorder="1">
      <alignment vertical="center"/>
    </xf>
    <xf numFmtId="180" fontId="14" fillId="0" borderId="25" xfId="9" applyNumberFormat="1" applyFont="1" applyFill="1" applyBorder="1">
      <alignment vertical="center"/>
    </xf>
    <xf numFmtId="177" fontId="14" fillId="0" borderId="135" xfId="9" applyNumberFormat="1" applyFont="1" applyFill="1" applyBorder="1" applyAlignment="1">
      <alignment vertical="center"/>
    </xf>
    <xf numFmtId="177" fontId="14" fillId="0" borderId="25" xfId="9" applyNumberFormat="1" applyFont="1" applyFill="1" applyBorder="1" applyAlignment="1">
      <alignment vertical="center"/>
    </xf>
    <xf numFmtId="177" fontId="14" fillId="0" borderId="72" xfId="9" applyNumberFormat="1" applyFont="1" applyFill="1" applyBorder="1" applyAlignment="1">
      <alignment vertical="center"/>
    </xf>
    <xf numFmtId="177" fontId="14" fillId="0" borderId="71" xfId="9" applyNumberFormat="1" applyFont="1" applyFill="1" applyBorder="1" applyAlignment="1">
      <alignment vertical="center"/>
    </xf>
    <xf numFmtId="177" fontId="14" fillId="0" borderId="16" xfId="9" applyNumberFormat="1" applyFont="1" applyFill="1" applyBorder="1" applyAlignment="1">
      <alignment vertical="center"/>
    </xf>
    <xf numFmtId="0" fontId="16" fillId="0" borderId="111" xfId="9" applyFont="1" applyFill="1" applyBorder="1" applyAlignment="1">
      <alignment vertical="center" shrinkToFit="1"/>
    </xf>
    <xf numFmtId="0" fontId="16" fillId="0" borderId="15" xfId="9" applyFont="1" applyFill="1" applyBorder="1" applyAlignment="1">
      <alignment vertical="center" shrinkToFit="1"/>
    </xf>
    <xf numFmtId="0" fontId="16" fillId="0" borderId="137" xfId="9" applyFont="1" applyFill="1" applyBorder="1" applyAlignment="1">
      <alignment vertical="center" shrinkToFit="1"/>
    </xf>
    <xf numFmtId="0" fontId="14" fillId="0" borderId="109" xfId="9" applyFont="1" applyFill="1" applyBorder="1" applyAlignment="1">
      <alignment vertical="center"/>
    </xf>
    <xf numFmtId="0" fontId="14" fillId="0" borderId="83" xfId="9" applyFont="1" applyFill="1" applyBorder="1" applyAlignment="1">
      <alignment vertical="center"/>
    </xf>
    <xf numFmtId="177" fontId="14" fillId="0" borderId="135" xfId="9" applyNumberFormat="1" applyFont="1" applyFill="1" applyBorder="1">
      <alignment vertical="center"/>
    </xf>
    <xf numFmtId="177" fontId="14" fillId="0" borderId="25" xfId="9" applyNumberFormat="1" applyFont="1" applyFill="1" applyBorder="1">
      <alignment vertical="center"/>
    </xf>
    <xf numFmtId="177" fontId="14" fillId="0" borderId="25" xfId="9" applyNumberFormat="1" applyFont="1" applyFill="1" applyBorder="1" applyAlignment="1">
      <alignment horizontal="right" vertical="center"/>
    </xf>
    <xf numFmtId="177" fontId="14" fillId="0" borderId="16" xfId="9" applyNumberFormat="1" applyFont="1" applyFill="1" applyBorder="1" applyAlignment="1">
      <alignment horizontal="right" vertical="center"/>
    </xf>
    <xf numFmtId="177" fontId="14" fillId="0" borderId="136" xfId="9" applyNumberFormat="1" applyFont="1" applyFill="1" applyBorder="1" applyAlignment="1">
      <alignment horizontal="right" vertical="center"/>
    </xf>
    <xf numFmtId="180" fontId="14" fillId="0" borderId="63" xfId="9" applyNumberFormat="1" applyFont="1" applyFill="1" applyBorder="1">
      <alignment vertical="center"/>
    </xf>
    <xf numFmtId="180" fontId="14" fillId="0" borderId="62" xfId="9" applyNumberFormat="1" applyFont="1" applyFill="1" applyBorder="1">
      <alignment vertical="center"/>
    </xf>
    <xf numFmtId="177" fontId="14" fillId="0" borderId="109" xfId="9" applyNumberFormat="1" applyFont="1" applyFill="1" applyBorder="1">
      <alignment vertical="center"/>
    </xf>
    <xf numFmtId="177" fontId="14" fillId="0" borderId="20" xfId="9" applyNumberFormat="1" applyFont="1" applyFill="1" applyBorder="1">
      <alignment vertical="center"/>
    </xf>
    <xf numFmtId="180" fontId="14" fillId="0" borderId="72" xfId="9" applyNumberFormat="1" applyFont="1" applyFill="1" applyBorder="1" applyAlignment="1">
      <alignment horizontal="right" vertical="center"/>
    </xf>
    <xf numFmtId="180" fontId="14" fillId="0" borderId="74" xfId="9" applyNumberFormat="1" applyFont="1" applyFill="1" applyBorder="1" applyAlignment="1">
      <alignment horizontal="right" vertical="center"/>
    </xf>
    <xf numFmtId="180" fontId="14" fillId="0" borderId="75" xfId="9" applyNumberFormat="1" applyFont="1" applyFill="1" applyBorder="1" applyAlignment="1">
      <alignment horizontal="right" vertical="center"/>
    </xf>
    <xf numFmtId="177" fontId="14" fillId="0" borderId="73" xfId="9" applyNumberFormat="1" applyFont="1" applyFill="1" applyBorder="1" applyAlignment="1">
      <alignment vertical="center"/>
    </xf>
    <xf numFmtId="0" fontId="16" fillId="0" borderId="109" xfId="9" applyFont="1" applyFill="1" applyBorder="1" applyAlignment="1">
      <alignment vertical="center" shrinkToFit="1"/>
    </xf>
    <xf numFmtId="0" fontId="16" fillId="0" borderId="14" xfId="9" applyFont="1" applyFill="1" applyBorder="1" applyAlignment="1">
      <alignment vertical="center" shrinkToFit="1"/>
    </xf>
    <xf numFmtId="0" fontId="16" fillId="0" borderId="26" xfId="9" applyFont="1" applyFill="1" applyBorder="1" applyAlignment="1">
      <alignment vertical="center" shrinkToFit="1"/>
    </xf>
    <xf numFmtId="0" fontId="14" fillId="0" borderId="108" xfId="9" applyFont="1" applyFill="1" applyBorder="1" applyAlignment="1">
      <alignment vertical="center"/>
    </xf>
    <xf numFmtId="0" fontId="14" fillId="0" borderId="40" xfId="9" applyFont="1" applyFill="1" applyBorder="1" applyAlignment="1">
      <alignment vertical="center"/>
    </xf>
    <xf numFmtId="0" fontId="14" fillId="0" borderId="39" xfId="9" applyFont="1" applyFill="1" applyBorder="1" applyAlignment="1">
      <alignment vertical="center"/>
    </xf>
    <xf numFmtId="0" fontId="14" fillId="0" borderId="22" xfId="9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0" fontId="14" fillId="0" borderId="38" xfId="9" applyFont="1" applyFill="1" applyBorder="1" applyAlignment="1">
      <alignment vertical="center"/>
    </xf>
    <xf numFmtId="0" fontId="14" fillId="0" borderId="76" xfId="9" applyFont="1" applyFill="1" applyBorder="1" applyAlignment="1">
      <alignment vertical="center"/>
    </xf>
    <xf numFmtId="0" fontId="14" fillId="0" borderId="78" xfId="9" applyFont="1" applyFill="1" applyBorder="1" applyAlignment="1">
      <alignment vertical="center"/>
    </xf>
    <xf numFmtId="177" fontId="14" fillId="0" borderId="73" xfId="9" applyNumberFormat="1" applyFont="1" applyFill="1" applyBorder="1" applyAlignment="1">
      <alignment horizontal="right" vertical="center"/>
    </xf>
    <xf numFmtId="177" fontId="14" fillId="0" borderId="72" xfId="9" applyNumberFormat="1" applyFont="1" applyFill="1" applyBorder="1" applyAlignment="1">
      <alignment horizontal="right" vertical="center"/>
    </xf>
    <xf numFmtId="177" fontId="14" fillId="0" borderId="72" xfId="9" applyNumberFormat="1" applyFont="1" applyFill="1" applyBorder="1">
      <alignment vertical="center"/>
    </xf>
    <xf numFmtId="177" fontId="14" fillId="0" borderId="71" xfId="9" applyNumberFormat="1" applyFont="1" applyFill="1" applyBorder="1">
      <alignment vertical="center"/>
    </xf>
    <xf numFmtId="180" fontId="14" fillId="0" borderId="73" xfId="9" applyNumberFormat="1" applyFont="1" applyFill="1" applyBorder="1" applyAlignment="1">
      <alignment horizontal="right" vertical="center"/>
    </xf>
    <xf numFmtId="180" fontId="14" fillId="0" borderId="71" xfId="9" applyNumberFormat="1" applyFont="1" applyFill="1" applyBorder="1" applyAlignment="1">
      <alignment horizontal="right" vertical="center"/>
    </xf>
    <xf numFmtId="0" fontId="14" fillId="0" borderId="66" xfId="9" applyFont="1" applyFill="1" applyBorder="1" applyAlignment="1">
      <alignment vertical="center"/>
    </xf>
    <xf numFmtId="0" fontId="14" fillId="0" borderId="77" xfId="9" applyFont="1" applyFill="1" applyBorder="1" applyAlignment="1">
      <alignment vertical="center"/>
    </xf>
    <xf numFmtId="177" fontId="14" fillId="0" borderId="63" xfId="9" applyNumberFormat="1" applyFont="1" applyFill="1" applyBorder="1">
      <alignment vertical="center"/>
    </xf>
    <xf numFmtId="177" fontId="14" fillId="0" borderId="62" xfId="9" applyNumberFormat="1" applyFont="1" applyFill="1" applyBorder="1">
      <alignment vertical="center"/>
    </xf>
    <xf numFmtId="177" fontId="14" fillId="0" borderId="62" xfId="9" applyNumberFormat="1" applyFont="1" applyFill="1" applyBorder="1" applyAlignment="1">
      <alignment horizontal="right" vertical="center"/>
    </xf>
    <xf numFmtId="177" fontId="14" fillId="0" borderId="61" xfId="9" applyNumberFormat="1" applyFont="1" applyFill="1" applyBorder="1" applyAlignment="1">
      <alignment horizontal="right" vertical="center"/>
    </xf>
    <xf numFmtId="177" fontId="14" fillId="0" borderId="64" xfId="9" applyNumberFormat="1" applyFont="1" applyFill="1" applyBorder="1" applyAlignment="1">
      <alignment horizontal="right" vertical="center"/>
    </xf>
    <xf numFmtId="0" fontId="14" fillId="0" borderId="134" xfId="9" applyFont="1" applyFill="1" applyBorder="1" applyAlignment="1">
      <alignment vertical="center"/>
    </xf>
    <xf numFmtId="0" fontId="14" fillId="0" borderId="102" xfId="9" applyFont="1" applyFill="1" applyBorder="1" applyAlignment="1">
      <alignment vertical="center"/>
    </xf>
    <xf numFmtId="0" fontId="14" fillId="0" borderId="97" xfId="9" applyFont="1" applyFill="1" applyBorder="1" applyAlignment="1">
      <alignment vertical="center"/>
    </xf>
    <xf numFmtId="0" fontId="14" fillId="0" borderId="28" xfId="9" applyFont="1" applyFill="1" applyBorder="1" applyAlignment="1">
      <alignment vertical="center"/>
    </xf>
    <xf numFmtId="0" fontId="14" fillId="0" borderId="127" xfId="9" applyFont="1" applyFill="1" applyBorder="1" applyAlignment="1">
      <alignment vertical="center"/>
    </xf>
    <xf numFmtId="0" fontId="14" fillId="0" borderId="133" xfId="9" applyFont="1" applyFill="1" applyBorder="1" applyAlignment="1">
      <alignment vertical="center"/>
    </xf>
    <xf numFmtId="177" fontId="14" fillId="0" borderId="131" xfId="9" applyNumberFormat="1" applyFont="1" applyFill="1" applyBorder="1" applyAlignment="1">
      <alignment vertical="center"/>
    </xf>
    <xf numFmtId="177" fontId="14" fillId="0" borderId="129" xfId="9" applyNumberFormat="1" applyFont="1" applyFill="1" applyBorder="1" applyAlignment="1">
      <alignment vertical="center"/>
    </xf>
    <xf numFmtId="177" fontId="14" fillId="0" borderId="132" xfId="9" applyNumberFormat="1" applyFont="1" applyFill="1" applyBorder="1" applyAlignment="1">
      <alignment vertical="center"/>
    </xf>
    <xf numFmtId="177" fontId="14" fillId="0" borderId="130" xfId="9" applyNumberFormat="1" applyFont="1" applyFill="1" applyBorder="1" applyAlignment="1">
      <alignment vertical="center"/>
    </xf>
    <xf numFmtId="38" fontId="14" fillId="0" borderId="129" xfId="13" applyFont="1" applyFill="1" applyBorder="1" applyAlignment="1">
      <alignment horizontal="right" vertical="center"/>
    </xf>
    <xf numFmtId="177" fontId="14" fillId="0" borderId="133" xfId="9" applyNumberFormat="1" applyFont="1" applyFill="1" applyBorder="1" applyAlignment="1">
      <alignment vertical="center"/>
    </xf>
    <xf numFmtId="0" fontId="14" fillId="0" borderId="131" xfId="9" applyFont="1" applyFill="1" applyBorder="1" applyAlignment="1">
      <alignment horizontal="right" vertical="center"/>
    </xf>
    <xf numFmtId="0" fontId="14" fillId="0" borderId="132" xfId="9" applyFont="1" applyFill="1" applyBorder="1" applyAlignment="1">
      <alignment horizontal="right" vertical="center"/>
    </xf>
    <xf numFmtId="180" fontId="14" fillId="0" borderId="61" xfId="9" applyNumberFormat="1" applyFont="1" applyFill="1" applyBorder="1">
      <alignment vertical="center"/>
    </xf>
    <xf numFmtId="180" fontId="14" fillId="0" borderId="64" xfId="9" applyNumberFormat="1" applyFont="1" applyFill="1" applyBorder="1">
      <alignment vertical="center"/>
    </xf>
    <xf numFmtId="180" fontId="14" fillId="0" borderId="139" xfId="9" applyNumberFormat="1" applyFont="1" applyFill="1" applyBorder="1" applyAlignment="1">
      <alignment horizontal="right" vertical="center"/>
    </xf>
    <xf numFmtId="180" fontId="14" fillId="0" borderId="141" xfId="9" applyNumberFormat="1" applyFont="1" applyFill="1" applyBorder="1" applyAlignment="1">
      <alignment horizontal="right" vertical="center"/>
    </xf>
    <xf numFmtId="180" fontId="14" fillId="0" borderId="142" xfId="9" applyNumberFormat="1" applyFont="1" applyFill="1" applyBorder="1" applyAlignment="1">
      <alignment horizontal="right" vertical="center"/>
    </xf>
    <xf numFmtId="177" fontId="14" fillId="0" borderId="140" xfId="9" applyNumberFormat="1" applyFont="1" applyFill="1" applyBorder="1" applyAlignment="1">
      <alignment vertical="center"/>
    </xf>
    <xf numFmtId="177" fontId="14" fillId="0" borderId="139" xfId="9" applyNumberFormat="1" applyFont="1" applyFill="1" applyBorder="1" applyAlignment="1">
      <alignment vertical="center"/>
    </xf>
    <xf numFmtId="0" fontId="16" fillId="0" borderId="66" xfId="9" applyFont="1" applyFill="1" applyBorder="1" applyAlignment="1">
      <alignment vertical="center" shrinkToFit="1"/>
    </xf>
    <xf numFmtId="0" fontId="16" fillId="0" borderId="116" xfId="9" applyFont="1" applyFill="1" applyBorder="1" applyAlignment="1">
      <alignment vertical="center" shrinkToFit="1"/>
    </xf>
    <xf numFmtId="0" fontId="16" fillId="0" borderId="115" xfId="9" applyFont="1" applyFill="1" applyBorder="1" applyAlignment="1">
      <alignment vertical="center" shrinkToFit="1"/>
    </xf>
    <xf numFmtId="177" fontId="14" fillId="0" borderId="61" xfId="9" applyNumberFormat="1" applyFont="1" applyFill="1" applyBorder="1">
      <alignment vertical="center"/>
    </xf>
    <xf numFmtId="177" fontId="14" fillId="0" borderId="65" xfId="9" applyNumberFormat="1" applyFont="1" applyFill="1" applyBorder="1">
      <alignment vertical="center"/>
    </xf>
    <xf numFmtId="177" fontId="14" fillId="0" borderId="77" xfId="9" applyNumberFormat="1" applyFont="1" applyFill="1" applyBorder="1">
      <alignment vertical="center"/>
    </xf>
    <xf numFmtId="180" fontId="14" fillId="0" borderId="65" xfId="9" applyNumberFormat="1" applyFont="1" applyFill="1" applyBorder="1">
      <alignment vertical="center"/>
    </xf>
    <xf numFmtId="177" fontId="14" fillId="0" borderId="63" xfId="9" applyNumberFormat="1" applyFont="1" applyFill="1" applyBorder="1" applyAlignment="1">
      <alignment vertical="center"/>
    </xf>
    <xf numFmtId="177" fontId="14" fillId="0" borderId="62" xfId="9" applyNumberFormat="1" applyFont="1" applyFill="1" applyBorder="1" applyAlignment="1">
      <alignment vertical="center"/>
    </xf>
    <xf numFmtId="177" fontId="14" fillId="0" borderId="61" xfId="9" applyNumberFormat="1" applyFont="1" applyFill="1" applyBorder="1" applyAlignment="1">
      <alignment vertical="center"/>
    </xf>
    <xf numFmtId="180" fontId="14" fillId="0" borderId="77" xfId="9" applyNumberFormat="1" applyFont="1" applyFill="1" applyBorder="1">
      <alignment vertical="center"/>
    </xf>
    <xf numFmtId="177" fontId="14" fillId="0" borderId="66" xfId="9" applyNumberFormat="1" applyFont="1" applyFill="1" applyBorder="1">
      <alignment vertical="center"/>
    </xf>
    <xf numFmtId="0" fontId="14" fillId="0" borderId="135" xfId="9" applyFont="1" applyFill="1" applyBorder="1">
      <alignment vertical="center"/>
    </xf>
    <xf numFmtId="0" fontId="14" fillId="0" borderId="25" xfId="9" applyFont="1" applyFill="1" applyBorder="1">
      <alignment vertical="center"/>
    </xf>
    <xf numFmtId="0" fontId="14" fillId="0" borderId="16" xfId="9" applyFont="1" applyFill="1" applyBorder="1">
      <alignment vertical="center"/>
    </xf>
    <xf numFmtId="0" fontId="14" fillId="0" borderId="72" xfId="9" applyFont="1" applyFill="1" applyBorder="1" applyAlignment="1">
      <alignment horizontal="right" vertical="center"/>
    </xf>
    <xf numFmtId="0" fontId="14" fillId="0" borderId="74" xfId="9" applyFont="1" applyFill="1" applyBorder="1" applyAlignment="1">
      <alignment horizontal="right" vertical="center"/>
    </xf>
    <xf numFmtId="0" fontId="14" fillId="0" borderId="73" xfId="9" applyFont="1" applyFill="1" applyBorder="1" applyAlignment="1">
      <alignment horizontal="right" vertical="center"/>
    </xf>
    <xf numFmtId="0" fontId="14" fillId="0" borderId="114" xfId="9" applyFont="1" applyFill="1" applyBorder="1" applyAlignment="1">
      <alignment vertical="center"/>
    </xf>
    <xf numFmtId="0" fontId="14" fillId="0" borderId="113" xfId="9" applyFont="1" applyFill="1" applyBorder="1" applyAlignment="1">
      <alignment vertical="center"/>
    </xf>
    <xf numFmtId="0" fontId="14" fillId="0" borderId="41" xfId="9" applyFont="1" applyFill="1" applyBorder="1" applyAlignment="1">
      <alignment vertical="center"/>
    </xf>
    <xf numFmtId="177" fontId="14" fillId="0" borderId="138" xfId="9" applyNumberFormat="1" applyFont="1" applyFill="1" applyBorder="1" applyAlignment="1">
      <alignment vertical="center"/>
    </xf>
    <xf numFmtId="177" fontId="14" fillId="0" borderId="4" xfId="9" applyNumberFormat="1" applyFont="1" applyFill="1" applyBorder="1">
      <alignment vertical="center"/>
    </xf>
    <xf numFmtId="177" fontId="14" fillId="0" borderId="6" xfId="9" applyNumberFormat="1" applyFont="1" applyFill="1" applyBorder="1">
      <alignment vertical="center"/>
    </xf>
    <xf numFmtId="0" fontId="14" fillId="0" borderId="63" xfId="9" applyFont="1" applyFill="1" applyBorder="1" applyAlignment="1">
      <alignment horizontal="right" vertical="center"/>
    </xf>
    <xf numFmtId="0" fontId="14" fillId="0" borderId="62" xfId="9" applyFont="1" applyFill="1" applyBorder="1" applyAlignment="1">
      <alignment horizontal="right" vertical="center"/>
    </xf>
    <xf numFmtId="0" fontId="14" fillId="0" borderId="61" xfId="9" applyFont="1" applyFill="1" applyBorder="1" applyAlignment="1">
      <alignment horizontal="right" vertical="center"/>
    </xf>
    <xf numFmtId="177" fontId="14" fillId="0" borderId="66" xfId="9" applyNumberFormat="1" applyFont="1" applyFill="1" applyBorder="1" applyAlignment="1">
      <alignment horizontal="right" vertical="center"/>
    </xf>
    <xf numFmtId="177" fontId="14" fillId="0" borderId="65" xfId="9" applyNumberFormat="1" applyFont="1" applyFill="1" applyBorder="1" applyAlignment="1">
      <alignment horizontal="right" vertical="center"/>
    </xf>
    <xf numFmtId="0" fontId="14" fillId="0" borderId="4" xfId="9" applyFont="1" applyFill="1" applyBorder="1" applyAlignment="1">
      <alignment horizontal="right" vertical="center"/>
    </xf>
    <xf numFmtId="0" fontId="14" fillId="0" borderId="146" xfId="9" applyFont="1" applyFill="1" applyBorder="1" applyAlignment="1">
      <alignment horizontal="right" vertical="center"/>
    </xf>
    <xf numFmtId="0" fontId="16" fillId="0" borderId="45" xfId="9" applyFont="1" applyFill="1" applyBorder="1" applyAlignment="1">
      <alignment vertical="center" shrinkToFit="1"/>
    </xf>
    <xf numFmtId="0" fontId="16" fillId="0" borderId="145" xfId="9" applyFont="1" applyFill="1" applyBorder="1" applyAlignment="1">
      <alignment vertical="center" shrinkToFit="1"/>
    </xf>
    <xf numFmtId="0" fontId="16" fillId="0" borderId="144" xfId="9" applyFont="1" applyFill="1" applyBorder="1" applyAlignment="1">
      <alignment vertical="center" shrinkToFit="1"/>
    </xf>
    <xf numFmtId="0" fontId="14" fillId="0" borderId="143" xfId="9" applyFont="1" applyFill="1" applyBorder="1" applyAlignment="1">
      <alignment vertical="center"/>
    </xf>
    <xf numFmtId="0" fontId="14" fillId="0" borderId="49" xfId="9" applyFont="1" applyFill="1" applyBorder="1" applyAlignment="1">
      <alignment vertical="center"/>
    </xf>
    <xf numFmtId="0" fontId="14" fillId="0" borderId="48" xfId="9" applyFont="1" applyFill="1" applyBorder="1" applyAlignment="1">
      <alignment vertical="center"/>
    </xf>
    <xf numFmtId="0" fontId="14" fillId="0" borderId="46" xfId="9" applyFont="1" applyFill="1" applyBorder="1" applyAlignment="1">
      <alignment vertical="center"/>
    </xf>
    <xf numFmtId="0" fontId="14" fillId="0" borderId="47" xfId="9" applyFont="1" applyFill="1" applyBorder="1" applyAlignment="1">
      <alignment vertical="center"/>
    </xf>
    <xf numFmtId="177" fontId="14" fillId="0" borderId="140" xfId="9" applyNumberFormat="1" applyFont="1" applyFill="1" applyBorder="1" applyAlignment="1">
      <alignment horizontal="right" vertical="center"/>
    </xf>
    <xf numFmtId="177" fontId="14" fillId="0" borderId="139" xfId="9" applyNumberFormat="1" applyFont="1" applyFill="1" applyBorder="1" applyAlignment="1">
      <alignment horizontal="right" vertical="center"/>
    </xf>
    <xf numFmtId="177" fontId="14" fillId="0" borderId="139" xfId="9" applyNumberFormat="1" applyFont="1" applyFill="1" applyBorder="1">
      <alignment vertical="center"/>
    </xf>
    <xf numFmtId="177" fontId="14" fillId="0" borderId="138" xfId="9" applyNumberFormat="1" applyFont="1" applyFill="1" applyBorder="1">
      <alignment vertical="center"/>
    </xf>
    <xf numFmtId="180" fontId="14" fillId="0" borderId="140" xfId="9" applyNumberFormat="1" applyFont="1" applyFill="1" applyBorder="1" applyAlignment="1">
      <alignment horizontal="right" vertical="center"/>
    </xf>
    <xf numFmtId="180" fontId="14" fillId="0" borderId="138" xfId="9" applyNumberFormat="1" applyFont="1" applyFill="1" applyBorder="1" applyAlignment="1">
      <alignment horizontal="right" vertical="center"/>
    </xf>
    <xf numFmtId="0" fontId="14" fillId="0" borderId="136" xfId="9" applyFont="1" applyFill="1" applyBorder="1">
      <alignment vertical="center"/>
    </xf>
    <xf numFmtId="0" fontId="14" fillId="0" borderId="20" xfId="9" applyFont="1" applyFill="1" applyBorder="1">
      <alignment vertical="center"/>
    </xf>
    <xf numFmtId="0" fontId="16" fillId="0" borderId="76" xfId="9" applyFont="1" applyFill="1" applyBorder="1" applyAlignment="1">
      <alignment vertical="center" shrinkToFit="1"/>
    </xf>
    <xf numFmtId="0" fontId="16" fillId="0" borderId="89" xfId="9" applyFont="1" applyFill="1" applyBorder="1" applyAlignment="1">
      <alignment vertical="center" shrinkToFit="1"/>
    </xf>
    <xf numFmtId="0" fontId="16" fillId="0" borderId="117" xfId="9" applyFont="1" applyFill="1" applyBorder="1" applyAlignment="1">
      <alignment vertical="center" shrinkToFit="1"/>
    </xf>
    <xf numFmtId="0" fontId="14" fillId="0" borderId="71" xfId="9" applyFont="1" applyFill="1" applyBorder="1" applyAlignment="1">
      <alignment horizontal="right" vertical="center"/>
    </xf>
    <xf numFmtId="9" fontId="14" fillId="0" borderId="150" xfId="16" applyFont="1" applyFill="1" applyBorder="1" applyAlignment="1">
      <alignment horizontal="right" vertical="center"/>
    </xf>
    <xf numFmtId="9" fontId="14" fillId="0" borderId="149" xfId="16" applyFont="1" applyFill="1" applyBorder="1" applyAlignment="1">
      <alignment horizontal="right" vertical="center"/>
    </xf>
    <xf numFmtId="0" fontId="14" fillId="0" borderId="65" xfId="9" applyFont="1" applyFill="1" applyBorder="1" applyAlignment="1">
      <alignment horizontal="right" vertical="center"/>
    </xf>
    <xf numFmtId="0" fontId="14" fillId="0" borderId="77" xfId="9" applyFont="1" applyFill="1" applyBorder="1" applyAlignment="1">
      <alignment horizontal="right" vertical="center"/>
    </xf>
    <xf numFmtId="0" fontId="14" fillId="0" borderId="64" xfId="9" applyFont="1" applyFill="1" applyBorder="1" applyAlignment="1">
      <alignment horizontal="right" vertical="center"/>
    </xf>
    <xf numFmtId="177" fontId="14" fillId="0" borderId="74" xfId="9" applyNumberFormat="1" applyFont="1" applyFill="1" applyBorder="1">
      <alignment vertical="center"/>
    </xf>
    <xf numFmtId="177" fontId="14" fillId="0" borderId="77" xfId="9" applyNumberFormat="1" applyFont="1" applyFill="1" applyBorder="1" applyAlignment="1">
      <alignment horizontal="right" vertical="center"/>
    </xf>
    <xf numFmtId="177" fontId="14" fillId="0" borderId="63" xfId="9" applyNumberFormat="1" applyFont="1" applyFill="1" applyBorder="1" applyAlignment="1">
      <alignment horizontal="right" vertical="center"/>
    </xf>
    <xf numFmtId="0" fontId="16" fillId="0" borderId="70" xfId="9" applyFont="1" applyFill="1" applyBorder="1" applyAlignment="1">
      <alignment vertical="center" shrinkToFit="1"/>
    </xf>
    <xf numFmtId="0" fontId="16" fillId="0" borderId="8" xfId="9" applyFont="1" applyFill="1" applyBorder="1" applyAlignment="1">
      <alignment vertical="center" shrinkToFit="1"/>
    </xf>
    <xf numFmtId="0" fontId="16" fillId="0" borderId="18" xfId="9" applyFont="1" applyFill="1" applyBorder="1" applyAlignment="1">
      <alignment vertical="center" shrinkToFit="1"/>
    </xf>
    <xf numFmtId="0" fontId="14" fillId="0" borderId="111" xfId="9" applyFont="1" applyFill="1" applyBorder="1" applyAlignment="1">
      <alignment vertical="center"/>
    </xf>
    <xf numFmtId="0" fontId="14" fillId="0" borderId="110" xfId="9" applyFont="1" applyFill="1" applyBorder="1" applyAlignment="1">
      <alignment vertical="center"/>
    </xf>
    <xf numFmtId="177" fontId="14" fillId="0" borderId="147" xfId="9" applyNumberFormat="1" applyFont="1" applyFill="1" applyBorder="1" applyAlignment="1">
      <alignment horizontal="right" vertical="center"/>
    </xf>
    <xf numFmtId="177" fontId="14" fillId="0" borderId="4" xfId="9" applyNumberFormat="1" applyFont="1" applyFill="1" applyBorder="1" applyAlignment="1">
      <alignment horizontal="right" vertical="center"/>
    </xf>
    <xf numFmtId="0" fontId="14" fillId="0" borderId="147" xfId="9" applyFont="1" applyFill="1" applyBorder="1" applyAlignment="1">
      <alignment horizontal="right" vertical="center"/>
    </xf>
    <xf numFmtId="0" fontId="16" fillId="0" borderId="44" xfId="9" applyFont="1" applyFill="1" applyBorder="1" applyAlignment="1">
      <alignment vertical="center" shrinkToFit="1"/>
    </xf>
    <xf numFmtId="0" fontId="16" fillId="0" borderId="40" xfId="9" applyFont="1" applyFill="1" applyBorder="1" applyAlignment="1">
      <alignment vertical="center" shrinkToFit="1"/>
    </xf>
    <xf numFmtId="0" fontId="16" fillId="0" borderId="107" xfId="9" applyFont="1" applyFill="1" applyBorder="1" applyAlignment="1">
      <alignment vertical="center" shrinkToFit="1"/>
    </xf>
    <xf numFmtId="9" fontId="14" fillId="0" borderId="148" xfId="16" applyFont="1" applyFill="1" applyBorder="1" applyAlignment="1">
      <alignment horizontal="right" vertical="center"/>
    </xf>
    <xf numFmtId="9" fontId="14" fillId="0" borderId="72" xfId="14" applyFont="1" applyFill="1" applyBorder="1" applyAlignment="1">
      <alignment horizontal="right" vertical="center"/>
    </xf>
    <xf numFmtId="9" fontId="14" fillId="0" borderId="74" xfId="14" applyFont="1" applyFill="1" applyBorder="1" applyAlignment="1">
      <alignment horizontal="right" vertical="center"/>
    </xf>
    <xf numFmtId="177" fontId="14" fillId="0" borderId="72" xfId="9" applyNumberFormat="1" applyFont="1" applyFill="1" applyBorder="1" applyAlignment="1">
      <alignment horizontal="center" vertical="center"/>
    </xf>
    <xf numFmtId="177" fontId="14" fillId="0" borderId="74" xfId="9" applyNumberFormat="1" applyFont="1" applyFill="1" applyBorder="1" applyAlignment="1">
      <alignment horizontal="center" vertical="center"/>
    </xf>
    <xf numFmtId="0" fontId="15" fillId="0" borderId="151" xfId="9" applyFont="1" applyFill="1" applyBorder="1" applyAlignment="1">
      <alignment horizontal="center"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34" xfId="9" applyFont="1" applyFill="1" applyBorder="1" applyAlignment="1">
      <alignment horizontal="center" vertical="center"/>
    </xf>
    <xf numFmtId="9" fontId="14" fillId="0" borderId="73" xfId="16" applyNumberFormat="1" applyFont="1" applyFill="1" applyBorder="1" applyAlignment="1">
      <alignment horizontal="right" vertical="center"/>
    </xf>
    <xf numFmtId="9" fontId="14" fillId="0" borderId="72" xfId="16" applyNumberFormat="1" applyFont="1" applyFill="1" applyBorder="1" applyAlignment="1">
      <alignment horizontal="right" vertical="center"/>
    </xf>
    <xf numFmtId="9" fontId="14" fillId="0" borderId="74" xfId="16" applyNumberFormat="1" applyFont="1" applyFill="1" applyBorder="1" applyAlignment="1">
      <alignment horizontal="right" vertical="center"/>
    </xf>
    <xf numFmtId="9" fontId="14" fillId="0" borderId="73" xfId="14" applyFont="1" applyFill="1" applyBorder="1" applyAlignment="1">
      <alignment horizontal="right" vertical="center"/>
    </xf>
    <xf numFmtId="177" fontId="14" fillId="0" borderId="109" xfId="9" applyNumberFormat="1" applyFont="1" applyFill="1" applyBorder="1" applyAlignment="1">
      <alignment horizontal="center" vertical="center"/>
    </xf>
    <xf numFmtId="177" fontId="14" fillId="0" borderId="20" xfId="9" applyNumberFormat="1" applyFont="1" applyFill="1" applyBorder="1" applyAlignment="1">
      <alignment horizontal="center" vertical="center"/>
    </xf>
    <xf numFmtId="0" fontId="15" fillId="0" borderId="99" xfId="9" applyFont="1" applyFill="1" applyBorder="1" applyAlignment="1">
      <alignment horizontal="center" vertical="center"/>
    </xf>
    <xf numFmtId="0" fontId="15" fillId="0" borderId="28" xfId="9" applyFont="1" applyFill="1" applyBorder="1" applyAlignment="1">
      <alignment horizontal="center" vertical="center"/>
    </xf>
    <xf numFmtId="0" fontId="15" fillId="0" borderId="98" xfId="9" applyFont="1" applyFill="1" applyBorder="1" applyAlignment="1">
      <alignment horizontal="center" vertical="center"/>
    </xf>
    <xf numFmtId="0" fontId="14" fillId="0" borderId="54" xfId="9" applyFont="1" applyFill="1" applyBorder="1" applyAlignment="1">
      <alignment horizontal="center" vertical="center"/>
    </xf>
    <xf numFmtId="0" fontId="14" fillId="0" borderId="58" xfId="9" applyFont="1" applyFill="1" applyBorder="1" applyAlignment="1">
      <alignment horizontal="center" vertical="center"/>
    </xf>
    <xf numFmtId="0" fontId="14" fillId="0" borderId="152" xfId="9" applyFont="1" applyFill="1" applyBorder="1" applyAlignment="1">
      <alignment horizontal="center" vertical="center"/>
    </xf>
    <xf numFmtId="0" fontId="14" fillId="0" borderId="154" xfId="9" applyFont="1" applyFill="1" applyBorder="1" applyAlignment="1">
      <alignment horizontal="center" vertical="center"/>
    </xf>
    <xf numFmtId="177" fontId="14" fillId="0" borderId="14" xfId="9" applyNumberFormat="1" applyFont="1" applyFill="1" applyBorder="1" applyAlignment="1">
      <alignment horizontal="right" vertical="center"/>
    </xf>
    <xf numFmtId="177" fontId="14" fillId="0" borderId="81" xfId="9" applyNumberFormat="1" applyFont="1" applyFill="1" applyBorder="1" applyAlignment="1">
      <alignment vertical="center"/>
    </xf>
    <xf numFmtId="177" fontId="14" fillId="0" borderId="5" xfId="9" applyNumberFormat="1" applyFont="1" applyFill="1" applyBorder="1" applyAlignment="1">
      <alignment vertical="center"/>
    </xf>
    <xf numFmtId="0" fontId="14" fillId="0" borderId="109" xfId="9" applyFont="1" applyFill="1" applyBorder="1" applyAlignment="1">
      <alignment horizontal="left" vertical="center"/>
    </xf>
    <xf numFmtId="0" fontId="14" fillId="0" borderId="83" xfId="9" applyFont="1" applyFill="1" applyBorder="1" applyAlignment="1">
      <alignment horizontal="left" vertical="center"/>
    </xf>
    <xf numFmtId="177" fontId="14" fillId="0" borderId="70" xfId="9" applyNumberFormat="1" applyFont="1" applyFill="1" applyBorder="1" applyAlignment="1">
      <alignment horizontal="center" vertical="center"/>
    </xf>
    <xf numFmtId="177" fontId="14" fillId="0" borderId="8" xfId="9" applyNumberFormat="1" applyFont="1" applyFill="1" applyBorder="1" applyAlignment="1">
      <alignment horizontal="center" vertical="center"/>
    </xf>
    <xf numFmtId="177" fontId="14" fillId="0" borderId="51" xfId="9" applyNumberFormat="1" applyFont="1" applyFill="1" applyBorder="1" applyAlignment="1">
      <alignment horizontal="center" vertical="center"/>
    </xf>
    <xf numFmtId="177" fontId="14" fillId="0" borderId="70" xfId="9" applyNumberFormat="1" applyFont="1" applyFill="1" applyBorder="1" applyAlignment="1">
      <alignment horizontal="right" vertical="center"/>
    </xf>
    <xf numFmtId="177" fontId="14" fillId="0" borderId="7" xfId="9" applyNumberFormat="1" applyFont="1" applyFill="1" applyBorder="1" applyAlignment="1">
      <alignment horizontal="right" vertical="center"/>
    </xf>
    <xf numFmtId="177" fontId="14" fillId="0" borderId="19" xfId="9" applyNumberFormat="1" applyFont="1" applyFill="1" applyBorder="1" applyAlignment="1">
      <alignment horizontal="right" vertical="center"/>
    </xf>
    <xf numFmtId="177" fontId="14" fillId="0" borderId="8" xfId="9" applyNumberFormat="1" applyFont="1" applyFill="1" applyBorder="1" applyAlignment="1">
      <alignment horizontal="right" vertical="center"/>
    </xf>
    <xf numFmtId="177" fontId="14" fillId="0" borderId="132" xfId="9" applyNumberFormat="1" applyFont="1" applyFill="1" applyBorder="1" applyAlignment="1">
      <alignment horizontal="right" vertical="center"/>
    </xf>
    <xf numFmtId="177" fontId="14" fillId="0" borderId="133" xfId="9" applyNumberFormat="1" applyFont="1" applyFill="1" applyBorder="1" applyAlignment="1">
      <alignment horizontal="right" vertical="center"/>
    </xf>
    <xf numFmtId="177" fontId="14" fillId="0" borderId="109" xfId="9" applyNumberFormat="1" applyFont="1" applyFill="1" applyBorder="1" applyAlignment="1">
      <alignment horizontal="right" vertical="center"/>
    </xf>
    <xf numFmtId="177" fontId="14" fillId="0" borderId="20" xfId="9" applyNumberFormat="1" applyFont="1" applyFill="1" applyBorder="1" applyAlignment="1">
      <alignment horizontal="right" vertical="center"/>
    </xf>
    <xf numFmtId="177" fontId="14" fillId="0" borderId="83" xfId="9" applyNumberFormat="1" applyFont="1" applyFill="1" applyBorder="1" applyAlignment="1">
      <alignment horizontal="right" vertical="center"/>
    </xf>
    <xf numFmtId="0" fontId="14" fillId="0" borderId="153" xfId="9" applyFont="1" applyFill="1" applyBorder="1" applyAlignment="1">
      <alignment horizontal="center" vertical="center"/>
    </xf>
    <xf numFmtId="177" fontId="14" fillId="0" borderId="147" xfId="9" applyNumberFormat="1" applyFont="1" applyFill="1" applyBorder="1" applyAlignment="1">
      <alignment vertical="center"/>
    </xf>
    <xf numFmtId="177" fontId="14" fillId="0" borderId="4" xfId="9" applyNumberFormat="1" applyFont="1" applyFill="1" applyBorder="1" applyAlignment="1">
      <alignment vertical="center"/>
    </xf>
    <xf numFmtId="0" fontId="15" fillId="0" borderId="41" xfId="9" applyFont="1" applyFill="1" applyBorder="1" applyAlignment="1">
      <alignment vertical="center"/>
    </xf>
    <xf numFmtId="0" fontId="14" fillId="0" borderId="31" xfId="9" applyFont="1" applyFill="1" applyBorder="1" applyAlignment="1">
      <alignment horizontal="center" vertical="center"/>
    </xf>
    <xf numFmtId="0" fontId="12" fillId="0" borderId="32" xfId="9" applyFont="1" applyFill="1" applyBorder="1" applyAlignment="1">
      <alignment horizontal="left" vertical="center" indent="1"/>
    </xf>
    <xf numFmtId="0" fontId="12" fillId="0" borderId="36" xfId="9" applyFont="1" applyFill="1" applyBorder="1" applyAlignment="1">
      <alignment horizontal="left" vertical="center" indent="1"/>
    </xf>
    <xf numFmtId="0" fontId="12" fillId="0" borderId="34" xfId="9" applyFont="1" applyFill="1" applyBorder="1" applyAlignment="1">
      <alignment horizontal="left" vertical="center" indent="1"/>
    </xf>
    <xf numFmtId="0" fontId="12" fillId="0" borderId="31" xfId="9" applyFont="1" applyFill="1" applyBorder="1" applyAlignment="1">
      <alignment horizontal="center" vertical="center"/>
    </xf>
    <xf numFmtId="0" fontId="14" fillId="0" borderId="134" xfId="9" applyFont="1" applyFill="1" applyBorder="1" applyAlignment="1">
      <alignment horizontal="center" vertical="center"/>
    </xf>
    <xf numFmtId="0" fontId="14" fillId="0" borderId="102" xfId="9" applyFont="1" applyFill="1" applyBorder="1" applyAlignment="1">
      <alignment horizontal="center" vertical="center"/>
    </xf>
    <xf numFmtId="0" fontId="14" fillId="0" borderId="120" xfId="9" applyFont="1" applyFill="1" applyBorder="1" applyAlignment="1">
      <alignment horizontal="center" vertical="center"/>
    </xf>
    <xf numFmtId="0" fontId="14" fillId="0" borderId="155" xfId="9" applyFont="1" applyFill="1" applyBorder="1" applyAlignment="1">
      <alignment horizontal="center" vertical="center"/>
    </xf>
    <xf numFmtId="0" fontId="14" fillId="0" borderId="119" xfId="9" applyFont="1" applyFill="1" applyBorder="1" applyAlignment="1">
      <alignment horizontal="center" vertical="center"/>
    </xf>
    <xf numFmtId="0" fontId="14" fillId="0" borderId="99" xfId="9" applyFont="1" applyFill="1" applyBorder="1" applyAlignment="1">
      <alignment horizontal="center" vertical="center"/>
    </xf>
    <xf numFmtId="177" fontId="14" fillId="0" borderId="51" xfId="9" applyNumberFormat="1" applyFont="1" applyFill="1" applyBorder="1" applyAlignment="1">
      <alignment horizontal="right" vertical="center"/>
    </xf>
    <xf numFmtId="177" fontId="14" fillId="2" borderId="109" xfId="9" applyNumberFormat="1" applyFont="1" applyFill="1" applyBorder="1" applyAlignment="1">
      <alignment horizontal="right" vertical="center"/>
    </xf>
    <xf numFmtId="177" fontId="14" fillId="2" borderId="20" xfId="9" applyNumberFormat="1" applyFont="1" applyFill="1" applyBorder="1" applyAlignment="1">
      <alignment horizontal="right" vertical="center"/>
    </xf>
    <xf numFmtId="177" fontId="14" fillId="2" borderId="16" xfId="9" applyNumberFormat="1" applyFont="1" applyFill="1" applyBorder="1" applyAlignment="1">
      <alignment horizontal="right" vertical="center"/>
    </xf>
    <xf numFmtId="177" fontId="14" fillId="2" borderId="14" xfId="9" applyNumberFormat="1" applyFont="1" applyFill="1" applyBorder="1" applyAlignment="1">
      <alignment horizontal="right" vertical="center"/>
    </xf>
    <xf numFmtId="177" fontId="14" fillId="2" borderId="63" xfId="9" applyNumberFormat="1" applyFont="1" applyFill="1" applyBorder="1" applyAlignment="1">
      <alignment horizontal="right" vertical="center"/>
    </xf>
    <xf numFmtId="177" fontId="14" fillId="2" borderId="62" xfId="9" applyNumberFormat="1" applyFont="1" applyFill="1" applyBorder="1" applyAlignment="1">
      <alignment horizontal="right" vertical="center"/>
    </xf>
    <xf numFmtId="177" fontId="14" fillId="2" borderId="64" xfId="9" applyNumberFormat="1" applyFont="1" applyFill="1" applyBorder="1" applyAlignment="1">
      <alignment horizontal="right" vertical="center"/>
    </xf>
    <xf numFmtId="0" fontId="14" fillId="2" borderId="63" xfId="9" applyFont="1" applyFill="1" applyBorder="1" applyAlignment="1">
      <alignment horizontal="right" vertical="center"/>
    </xf>
    <xf numFmtId="0" fontId="14" fillId="2" borderId="62" xfId="9" applyFont="1" applyFill="1" applyBorder="1" applyAlignment="1">
      <alignment horizontal="right" vertical="center"/>
    </xf>
    <xf numFmtId="0" fontId="14" fillId="2" borderId="64" xfId="9" applyFont="1" applyFill="1" applyBorder="1" applyAlignment="1">
      <alignment horizontal="right" vertical="center"/>
    </xf>
    <xf numFmtId="0" fontId="14" fillId="2" borderId="147" xfId="9" applyFont="1" applyFill="1" applyBorder="1" applyAlignment="1">
      <alignment horizontal="right" vertical="center"/>
    </xf>
    <xf numFmtId="0" fontId="14" fillId="2" borderId="4" xfId="9" applyFont="1" applyFill="1" applyBorder="1" applyAlignment="1">
      <alignment horizontal="right" vertical="center"/>
    </xf>
    <xf numFmtId="0" fontId="14" fillId="2" borderId="146" xfId="9" applyFont="1" applyFill="1" applyBorder="1" applyAlignment="1">
      <alignment horizontal="right" vertical="center"/>
    </xf>
    <xf numFmtId="177" fontId="14" fillId="2" borderId="19" xfId="9" applyNumberFormat="1" applyFont="1" applyFill="1" applyBorder="1" applyAlignment="1">
      <alignment horizontal="right" vertical="center"/>
    </xf>
    <xf numFmtId="177" fontId="14" fillId="2" borderId="51" xfId="9" applyNumberFormat="1" applyFont="1" applyFill="1" applyBorder="1" applyAlignment="1">
      <alignment horizontal="right" vertical="center"/>
    </xf>
    <xf numFmtId="177" fontId="14" fillId="2" borderId="109" xfId="9" applyNumberFormat="1" applyFont="1" applyFill="1" applyBorder="1" applyAlignment="1">
      <alignment horizontal="center" vertical="center"/>
    </xf>
    <xf numFmtId="177" fontId="14" fillId="2" borderId="20" xfId="9" applyNumberFormat="1" applyFont="1" applyFill="1" applyBorder="1" applyAlignment="1">
      <alignment horizontal="center" vertical="center"/>
    </xf>
    <xf numFmtId="177" fontId="14" fillId="2" borderId="81" xfId="9" applyNumberFormat="1" applyFont="1" applyFill="1" applyBorder="1" applyAlignment="1">
      <alignment vertical="center"/>
    </xf>
    <xf numFmtId="177" fontId="14" fillId="2" borderId="5" xfId="9" applyNumberFormat="1" applyFont="1" applyFill="1" applyBorder="1" applyAlignment="1">
      <alignment vertical="center"/>
    </xf>
    <xf numFmtId="177" fontId="14" fillId="2" borderId="62" xfId="9" applyNumberFormat="1" applyFont="1" applyFill="1" applyBorder="1" applyAlignment="1">
      <alignment vertical="center"/>
    </xf>
    <xf numFmtId="177" fontId="14" fillId="2" borderId="61" xfId="9" applyNumberFormat="1" applyFont="1" applyFill="1" applyBorder="1" applyAlignment="1">
      <alignment vertical="center"/>
    </xf>
    <xf numFmtId="177" fontId="14" fillId="2" borderId="70" xfId="9" applyNumberFormat="1" applyFont="1" applyFill="1" applyBorder="1" applyAlignment="1">
      <alignment horizontal="center" vertical="center"/>
    </xf>
    <xf numFmtId="177" fontId="14" fillId="2" borderId="8" xfId="9" applyNumberFormat="1" applyFont="1" applyFill="1" applyBorder="1" applyAlignment="1">
      <alignment horizontal="center" vertical="center"/>
    </xf>
    <xf numFmtId="177" fontId="14" fillId="2" borderId="51" xfId="9" applyNumberFormat="1" applyFont="1" applyFill="1" applyBorder="1" applyAlignment="1">
      <alignment horizontal="center" vertical="center"/>
    </xf>
    <xf numFmtId="177" fontId="14" fillId="2" borderId="70" xfId="9" applyNumberFormat="1" applyFont="1" applyFill="1" applyBorder="1" applyAlignment="1">
      <alignment horizontal="right" vertical="center"/>
    </xf>
    <xf numFmtId="177" fontId="14" fillId="2" borderId="7" xfId="9" applyNumberFormat="1" applyFont="1" applyFill="1" applyBorder="1" applyAlignment="1">
      <alignment horizontal="right" vertical="center"/>
    </xf>
    <xf numFmtId="177" fontId="14" fillId="2" borderId="8" xfId="9" applyNumberFormat="1" applyFont="1" applyFill="1" applyBorder="1" applyAlignment="1">
      <alignment horizontal="right" vertical="center"/>
    </xf>
    <xf numFmtId="177" fontId="14" fillId="2" borderId="132" xfId="9" applyNumberFormat="1" applyFont="1" applyFill="1" applyBorder="1" applyAlignment="1">
      <alignment horizontal="right" vertical="center"/>
    </xf>
    <xf numFmtId="177" fontId="14" fillId="2" borderId="133" xfId="9" applyNumberFormat="1" applyFont="1" applyFill="1" applyBorder="1" applyAlignment="1">
      <alignment horizontal="right" vertical="center"/>
    </xf>
    <xf numFmtId="177" fontId="14" fillId="2" borderId="83" xfId="9" applyNumberFormat="1" applyFont="1" applyFill="1" applyBorder="1" applyAlignment="1">
      <alignment horizontal="right" vertical="center"/>
    </xf>
    <xf numFmtId="177" fontId="14" fillId="2" borderId="147" xfId="9" applyNumberFormat="1" applyFont="1" applyFill="1" applyBorder="1" applyAlignment="1">
      <alignment vertical="center"/>
    </xf>
    <xf numFmtId="177" fontId="14" fillId="2" borderId="4" xfId="9" applyNumberFormat="1" applyFont="1" applyFill="1" applyBorder="1" applyAlignment="1">
      <alignment vertical="center"/>
    </xf>
    <xf numFmtId="177" fontId="14" fillId="2" borderId="147" xfId="9" applyNumberFormat="1" applyFont="1" applyFill="1" applyBorder="1" applyAlignment="1">
      <alignment horizontal="right" vertical="center"/>
    </xf>
    <xf numFmtId="177" fontId="14" fillId="2" borderId="4" xfId="9" applyNumberFormat="1" applyFont="1" applyFill="1" applyBorder="1" applyAlignment="1">
      <alignment horizontal="right" vertical="center"/>
    </xf>
    <xf numFmtId="177" fontId="14" fillId="2" borderId="73" xfId="9" applyNumberFormat="1" applyFont="1" applyFill="1" applyBorder="1" applyAlignment="1">
      <alignment horizontal="right" vertical="center"/>
    </xf>
    <xf numFmtId="177" fontId="14" fillId="2" borderId="72" xfId="9" applyNumberFormat="1" applyFont="1" applyFill="1" applyBorder="1" applyAlignment="1">
      <alignment horizontal="right" vertical="center"/>
    </xf>
    <xf numFmtId="0" fontId="14" fillId="2" borderId="73" xfId="9" applyFont="1" applyFill="1" applyBorder="1" applyAlignment="1">
      <alignment horizontal="right" vertical="center"/>
    </xf>
    <xf numFmtId="0" fontId="14" fillId="2" borderId="72" xfId="9" applyFont="1" applyFill="1" applyBorder="1" applyAlignment="1">
      <alignment horizontal="right" vertical="center"/>
    </xf>
    <xf numFmtId="0" fontId="14" fillId="2" borderId="71" xfId="9" applyFont="1" applyFill="1" applyBorder="1" applyAlignment="1">
      <alignment horizontal="right" vertical="center"/>
    </xf>
    <xf numFmtId="9" fontId="14" fillId="2" borderId="149" xfId="16" applyFont="1" applyFill="1" applyBorder="1" applyAlignment="1">
      <alignment horizontal="right" vertical="center"/>
    </xf>
    <xf numFmtId="9" fontId="14" fillId="2" borderId="148" xfId="16" applyFont="1" applyFill="1" applyBorder="1" applyAlignment="1">
      <alignment horizontal="right" vertical="center"/>
    </xf>
    <xf numFmtId="9" fontId="14" fillId="2" borderId="72" xfId="14" applyFont="1" applyFill="1" applyBorder="1" applyAlignment="1">
      <alignment horizontal="right" vertical="center"/>
    </xf>
    <xf numFmtId="9" fontId="14" fillId="2" borderId="74" xfId="14" applyFont="1" applyFill="1" applyBorder="1" applyAlignment="1">
      <alignment horizontal="right" vertical="center"/>
    </xf>
    <xf numFmtId="177" fontId="14" fillId="2" borderId="73" xfId="9" applyNumberFormat="1" applyFont="1" applyFill="1" applyBorder="1" applyAlignment="1">
      <alignment vertical="center"/>
    </xf>
    <xf numFmtId="177" fontId="14" fillId="2" borderId="72" xfId="9" applyNumberFormat="1" applyFont="1" applyFill="1" applyBorder="1" applyAlignment="1">
      <alignment vertical="center"/>
    </xf>
    <xf numFmtId="177" fontId="14" fillId="2" borderId="72" xfId="9" applyNumberFormat="1" applyFont="1" applyFill="1" applyBorder="1" applyAlignment="1">
      <alignment horizontal="center" vertical="center"/>
    </xf>
    <xf numFmtId="177" fontId="14" fillId="2" borderId="74" xfId="9" applyNumberFormat="1" applyFont="1" applyFill="1" applyBorder="1" applyAlignment="1">
      <alignment horizontal="center" vertical="center"/>
    </xf>
    <xf numFmtId="9" fontId="14" fillId="2" borderId="73" xfId="16" applyNumberFormat="1" applyFont="1" applyFill="1" applyBorder="1" applyAlignment="1">
      <alignment horizontal="right" vertical="center"/>
    </xf>
    <xf numFmtId="9" fontId="14" fillId="2" borderId="72" xfId="16" applyNumberFormat="1" applyFont="1" applyFill="1" applyBorder="1" applyAlignment="1">
      <alignment horizontal="right" vertical="center"/>
    </xf>
    <xf numFmtId="9" fontId="14" fillId="2" borderId="74" xfId="16" applyNumberFormat="1" applyFont="1" applyFill="1" applyBorder="1" applyAlignment="1">
      <alignment horizontal="right" vertical="center"/>
    </xf>
    <xf numFmtId="9" fontId="14" fillId="2" borderId="73" xfId="14" applyFont="1" applyFill="1" applyBorder="1" applyAlignment="1">
      <alignment horizontal="right" vertical="center"/>
    </xf>
    <xf numFmtId="9" fontId="14" fillId="2" borderId="150" xfId="16" applyFont="1" applyFill="1" applyBorder="1" applyAlignment="1">
      <alignment horizontal="right" vertical="center"/>
    </xf>
    <xf numFmtId="0" fontId="14" fillId="2" borderId="61" xfId="9" applyFont="1" applyFill="1" applyBorder="1" applyAlignment="1">
      <alignment horizontal="right" vertical="center"/>
    </xf>
    <xf numFmtId="0" fontId="14" fillId="2" borderId="65" xfId="9" applyFont="1" applyFill="1" applyBorder="1" applyAlignment="1">
      <alignment horizontal="right" vertical="center"/>
    </xf>
    <xf numFmtId="0" fontId="14" fillId="2" borderId="77" xfId="9" applyFont="1" applyFill="1" applyBorder="1" applyAlignment="1">
      <alignment horizontal="right" vertical="center"/>
    </xf>
    <xf numFmtId="177" fontId="14" fillId="2" borderId="63" xfId="9" applyNumberFormat="1" applyFont="1" applyFill="1" applyBorder="1" applyAlignment="1">
      <alignment vertical="center"/>
    </xf>
    <xf numFmtId="177" fontId="14" fillId="2" borderId="72" xfId="9" applyNumberFormat="1" applyFont="1" applyFill="1" applyBorder="1">
      <alignment vertical="center"/>
    </xf>
    <xf numFmtId="177" fontId="14" fillId="2" borderId="74" xfId="9" applyNumberFormat="1" applyFont="1" applyFill="1" applyBorder="1">
      <alignment vertical="center"/>
    </xf>
    <xf numFmtId="177" fontId="14" fillId="2" borderId="61" xfId="9" applyNumberFormat="1" applyFont="1" applyFill="1" applyBorder="1" applyAlignment="1">
      <alignment horizontal="right" vertical="center"/>
    </xf>
    <xf numFmtId="177" fontId="14" fillId="2" borderId="65" xfId="9" applyNumberFormat="1" applyFont="1" applyFill="1" applyBorder="1" applyAlignment="1">
      <alignment horizontal="right" vertical="center"/>
    </xf>
    <xf numFmtId="177" fontId="14" fillId="2" borderId="77" xfId="9" applyNumberFormat="1" applyFont="1" applyFill="1" applyBorder="1" applyAlignment="1">
      <alignment horizontal="right" vertical="center"/>
    </xf>
    <xf numFmtId="177" fontId="14" fillId="2" borderId="71" xfId="9" applyNumberFormat="1" applyFont="1" applyFill="1" applyBorder="1" applyAlignment="1">
      <alignment vertical="center"/>
    </xf>
    <xf numFmtId="177" fontId="14" fillId="2" borderId="66" xfId="9" applyNumberFormat="1" applyFont="1" applyFill="1" applyBorder="1" applyAlignment="1">
      <alignment horizontal="right" vertical="center"/>
    </xf>
    <xf numFmtId="0" fontId="14" fillId="2" borderId="74" xfId="9" applyFont="1" applyFill="1" applyBorder="1" applyAlignment="1">
      <alignment horizontal="right" vertical="center"/>
    </xf>
    <xf numFmtId="177" fontId="14" fillId="2" borderId="24" xfId="9" applyNumberFormat="1" applyFont="1" applyFill="1" applyBorder="1" applyAlignment="1">
      <alignment horizontal="right" vertical="center"/>
    </xf>
    <xf numFmtId="177" fontId="14" fillId="0" borderId="141" xfId="9" applyNumberFormat="1" applyFont="1" applyFill="1" applyBorder="1" applyAlignment="1">
      <alignment horizontal="right" vertical="center"/>
    </xf>
    <xf numFmtId="177" fontId="14" fillId="2" borderId="139" xfId="9" applyNumberFormat="1" applyFont="1" applyFill="1" applyBorder="1" applyAlignment="1">
      <alignment horizontal="right" vertical="center"/>
    </xf>
    <xf numFmtId="177" fontId="14" fillId="2" borderId="141" xfId="9" applyNumberFormat="1" applyFont="1" applyFill="1" applyBorder="1" applyAlignment="1">
      <alignment horizontal="right" vertical="center"/>
    </xf>
    <xf numFmtId="0" fontId="14" fillId="2" borderId="178" xfId="9" applyFont="1" applyFill="1" applyBorder="1">
      <alignment vertical="center"/>
    </xf>
    <xf numFmtId="0" fontId="14" fillId="2" borderId="180" xfId="9" applyFont="1" applyFill="1" applyBorder="1">
      <alignment vertical="center"/>
    </xf>
    <xf numFmtId="0" fontId="14" fillId="2" borderId="181" xfId="9" applyFont="1" applyFill="1" applyBorder="1">
      <alignment vertical="center"/>
    </xf>
    <xf numFmtId="177" fontId="14" fillId="2" borderId="135" xfId="9" applyNumberFormat="1" applyFont="1" applyFill="1" applyBorder="1" applyAlignment="1">
      <alignment vertical="center"/>
    </xf>
    <xf numFmtId="177" fontId="14" fillId="2" borderId="25" xfId="9" applyNumberFormat="1" applyFont="1" applyFill="1" applyBorder="1" applyAlignment="1">
      <alignment vertical="center"/>
    </xf>
    <xf numFmtId="177" fontId="14" fillId="2" borderId="16" xfId="9" applyNumberFormat="1" applyFont="1" applyFill="1" applyBorder="1" applyAlignment="1">
      <alignment vertical="center"/>
    </xf>
    <xf numFmtId="177" fontId="14" fillId="2" borderId="177" xfId="9" applyNumberFormat="1" applyFont="1" applyFill="1" applyBorder="1">
      <alignment vertical="center"/>
    </xf>
    <xf numFmtId="177" fontId="14" fillId="2" borderId="178" xfId="9" applyNumberFormat="1" applyFont="1" applyFill="1" applyBorder="1">
      <alignment vertical="center"/>
    </xf>
    <xf numFmtId="177" fontId="14" fillId="2" borderId="178" xfId="9" applyNumberFormat="1" applyFont="1" applyFill="1" applyBorder="1" applyAlignment="1">
      <alignment horizontal="right" vertical="center"/>
    </xf>
    <xf numFmtId="177" fontId="14" fillId="2" borderId="179" xfId="9" applyNumberFormat="1" applyFont="1" applyFill="1" applyBorder="1" applyAlignment="1">
      <alignment horizontal="right" vertical="center"/>
    </xf>
    <xf numFmtId="177" fontId="14" fillId="2" borderId="180" xfId="9" applyNumberFormat="1" applyFont="1" applyFill="1" applyBorder="1" applyAlignment="1">
      <alignment horizontal="right" vertical="center"/>
    </xf>
    <xf numFmtId="0" fontId="14" fillId="2" borderId="177" xfId="9" applyFont="1" applyFill="1" applyBorder="1">
      <alignment vertical="center"/>
    </xf>
    <xf numFmtId="0" fontId="14" fillId="2" borderId="179" xfId="9" applyFont="1" applyFill="1" applyBorder="1">
      <alignment vertical="center"/>
    </xf>
    <xf numFmtId="177" fontId="14" fillId="0" borderId="146" xfId="9" applyNumberFormat="1" applyFont="1" applyFill="1" applyBorder="1" applyAlignment="1">
      <alignment horizontal="right" vertical="center"/>
    </xf>
    <xf numFmtId="177" fontId="14" fillId="2" borderId="146" xfId="9" applyNumberFormat="1" applyFont="1" applyFill="1" applyBorder="1" applyAlignment="1">
      <alignment horizontal="right" vertical="center"/>
    </xf>
    <xf numFmtId="177" fontId="14" fillId="0" borderId="142" xfId="9" applyNumberFormat="1" applyFont="1" applyFill="1" applyBorder="1" applyAlignment="1">
      <alignment vertical="center"/>
    </xf>
    <xf numFmtId="177" fontId="14" fillId="0" borderId="65" xfId="9" applyNumberFormat="1" applyFont="1" applyFill="1" applyBorder="1" applyAlignment="1">
      <alignment vertical="center"/>
    </xf>
    <xf numFmtId="177" fontId="14" fillId="0" borderId="24" xfId="9" applyNumberFormat="1" applyFont="1" applyFill="1" applyBorder="1" applyAlignment="1">
      <alignment vertical="center"/>
    </xf>
    <xf numFmtId="177" fontId="14" fillId="0" borderId="130" xfId="9" applyNumberFormat="1" applyFont="1" applyFill="1" applyBorder="1" applyAlignment="1">
      <alignment horizontal="right" vertical="center"/>
    </xf>
    <xf numFmtId="177" fontId="14" fillId="0" borderId="129" xfId="9" applyNumberFormat="1" applyFont="1" applyFill="1" applyBorder="1" applyAlignment="1">
      <alignment horizontal="right" vertical="center"/>
    </xf>
    <xf numFmtId="177" fontId="14" fillId="0" borderId="128" xfId="9" applyNumberFormat="1" applyFont="1" applyFill="1" applyBorder="1" applyAlignment="1">
      <alignment horizontal="right" vertical="center"/>
    </xf>
    <xf numFmtId="177" fontId="14" fillId="2" borderId="130" xfId="9" applyNumberFormat="1" applyFont="1" applyFill="1" applyBorder="1" applyAlignment="1">
      <alignment horizontal="right" vertical="center"/>
    </xf>
    <xf numFmtId="177" fontId="14" fillId="2" borderId="129" xfId="9" applyNumberFormat="1" applyFont="1" applyFill="1" applyBorder="1" applyAlignment="1">
      <alignment horizontal="right" vertical="center"/>
    </xf>
    <xf numFmtId="177" fontId="14" fillId="0" borderId="20" xfId="9" applyNumberFormat="1" applyFont="1" applyFill="1" applyBorder="1" applyAlignment="1">
      <alignment vertical="center"/>
    </xf>
    <xf numFmtId="177" fontId="14" fillId="2" borderId="25" xfId="9" applyNumberFormat="1" applyFont="1" applyFill="1" applyBorder="1" applyAlignment="1">
      <alignment horizontal="right" vertical="center"/>
    </xf>
    <xf numFmtId="177" fontId="14" fillId="2" borderId="136" xfId="9" applyNumberFormat="1" applyFont="1" applyFill="1" applyBorder="1" applyAlignment="1">
      <alignment horizontal="right" vertical="center"/>
    </xf>
    <xf numFmtId="177" fontId="14" fillId="0" borderId="75" xfId="9" applyNumberFormat="1" applyFont="1" applyFill="1" applyBorder="1" applyAlignment="1">
      <alignment vertical="center"/>
    </xf>
    <xf numFmtId="177" fontId="14" fillId="2" borderId="57" xfId="9" applyNumberFormat="1" applyFont="1" applyFill="1" applyBorder="1" applyAlignment="1">
      <alignment horizontal="right" vertical="center"/>
    </xf>
    <xf numFmtId="177" fontId="14" fillId="2" borderId="53" xfId="9" applyNumberFormat="1" applyFont="1" applyFill="1" applyBorder="1" applyAlignment="1">
      <alignment horizontal="right" vertical="center"/>
    </xf>
    <xf numFmtId="177" fontId="14" fillId="2" borderId="56" xfId="9" applyNumberFormat="1" applyFont="1" applyFill="1" applyBorder="1" applyAlignment="1">
      <alignment horizontal="right" vertical="center"/>
    </xf>
    <xf numFmtId="177" fontId="14" fillId="0" borderId="57" xfId="9" applyNumberFormat="1" applyFont="1" applyFill="1" applyBorder="1" applyAlignment="1">
      <alignment horizontal="right" vertical="center"/>
    </xf>
    <xf numFmtId="177" fontId="14" fillId="2" borderId="128" xfId="9" applyNumberFormat="1" applyFont="1" applyFill="1" applyBorder="1" applyAlignment="1">
      <alignment horizontal="right" vertical="center"/>
    </xf>
    <xf numFmtId="38" fontId="15" fillId="0" borderId="116" xfId="13" applyFont="1" applyFill="1" applyBorder="1" applyAlignment="1">
      <alignment horizontal="right" vertical="center"/>
    </xf>
    <xf numFmtId="186" fontId="11" fillId="0" borderId="0" xfId="13" applyNumberFormat="1" applyFont="1" applyFill="1" applyBorder="1" applyAlignment="1">
      <alignment horizontal="right" vertical="center"/>
    </xf>
    <xf numFmtId="38" fontId="15" fillId="0" borderId="116" xfId="13" applyFont="1" applyFill="1" applyBorder="1" applyAlignment="1">
      <alignment horizontal="right" vertical="center" shrinkToFit="1"/>
    </xf>
    <xf numFmtId="177" fontId="15" fillId="0" borderId="104" xfId="9" applyNumberFormat="1" applyFont="1" applyFill="1" applyBorder="1" applyAlignment="1">
      <alignment vertical="center"/>
    </xf>
    <xf numFmtId="38" fontId="15" fillId="0" borderId="104" xfId="13" applyFont="1" applyFill="1" applyBorder="1" applyAlignment="1">
      <alignment horizontal="right" vertical="center"/>
    </xf>
    <xf numFmtId="0" fontId="15" fillId="0" borderId="105" xfId="9" applyFont="1" applyFill="1" applyBorder="1" applyAlignment="1">
      <alignment horizontal="center" vertical="center"/>
    </xf>
    <xf numFmtId="0" fontId="15" fillId="0" borderId="104" xfId="9" applyFont="1" applyFill="1" applyBorder="1" applyAlignment="1">
      <alignment horizontal="center" vertical="center"/>
    </xf>
    <xf numFmtId="0" fontId="15" fillId="0" borderId="106" xfId="9" applyFont="1" applyFill="1" applyBorder="1" applyAlignment="1">
      <alignment horizontal="center" vertical="center"/>
    </xf>
    <xf numFmtId="180" fontId="15" fillId="0" borderId="105" xfId="9" applyNumberFormat="1" applyFont="1" applyFill="1" applyBorder="1" applyAlignment="1">
      <alignment vertical="center"/>
    </xf>
    <xf numFmtId="180" fontId="15" fillId="0" borderId="104" xfId="9" applyNumberFormat="1" applyFont="1" applyFill="1" applyBorder="1" applyAlignment="1">
      <alignment vertical="center"/>
    </xf>
    <xf numFmtId="180" fontId="15" fillId="0" borderId="103" xfId="9" applyNumberFormat="1" applyFont="1" applyFill="1" applyBorder="1" applyAlignment="1">
      <alignment vertical="center"/>
    </xf>
    <xf numFmtId="186" fontId="12" fillId="0" borderId="99" xfId="13" applyNumberFormat="1" applyFont="1" applyFill="1" applyBorder="1" applyAlignment="1">
      <alignment horizontal="right" vertical="center"/>
    </xf>
    <xf numFmtId="186" fontId="12" fillId="0" borderId="28" xfId="13" applyNumberFormat="1" applyFont="1" applyFill="1" applyBorder="1" applyAlignment="1">
      <alignment horizontal="right" vertical="center"/>
    </xf>
    <xf numFmtId="186" fontId="11" fillId="0" borderId="28" xfId="13" applyNumberFormat="1" applyFont="1" applyFill="1" applyBorder="1" applyAlignment="1">
      <alignment horizontal="right" vertical="center"/>
    </xf>
    <xf numFmtId="186" fontId="12" fillId="0" borderId="96" xfId="13" applyNumberFormat="1" applyFont="1" applyFill="1" applyBorder="1" applyAlignment="1">
      <alignment horizontal="right" vertical="center"/>
    </xf>
    <xf numFmtId="186" fontId="12" fillId="0" borderId="11" xfId="13" applyNumberFormat="1" applyFont="1" applyFill="1" applyBorder="1" applyAlignment="1">
      <alignment horizontal="right" vertical="center"/>
    </xf>
    <xf numFmtId="186" fontId="11" fillId="0" borderId="96" xfId="13" applyNumberFormat="1" applyFont="1" applyFill="1" applyBorder="1" applyAlignment="1">
      <alignment horizontal="right" vertical="center"/>
    </xf>
    <xf numFmtId="186" fontId="11" fillId="0" borderId="11" xfId="13" applyNumberFormat="1" applyFont="1" applyFill="1" applyBorder="1" applyAlignment="1">
      <alignment horizontal="right" vertical="center"/>
    </xf>
    <xf numFmtId="186" fontId="12" fillId="0" borderId="43" xfId="13" applyNumberFormat="1" applyFont="1" applyFill="1" applyBorder="1" applyAlignment="1">
      <alignment horizontal="right" vertical="center"/>
    </xf>
    <xf numFmtId="186" fontId="12" fillId="0" borderId="0" xfId="13" applyNumberFormat="1" applyFont="1" applyFill="1" applyBorder="1" applyAlignment="1">
      <alignment horizontal="right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</cellXfs>
  <cellStyles count="19">
    <cellStyle name="ゴシック10" xfId="1" xr:uid="{00000000-0005-0000-0000-000000000000}"/>
    <cellStyle name="ゴシック11" xfId="2" xr:uid="{00000000-0005-0000-0000-000001000000}"/>
    <cellStyle name="パーセント" xfId="14" builtinId="5"/>
    <cellStyle name="パーセント 2" xfId="12" xr:uid="{00000000-0005-0000-0000-000003000000}"/>
    <cellStyle name="パーセント 2 2" xfId="16" xr:uid="{00000000-0005-0000-0000-000004000000}"/>
    <cellStyle name="桁区切り" xfId="13" builtinId="6"/>
    <cellStyle name="桁区切り 2" xfId="7" xr:uid="{00000000-0005-0000-0000-000006000000}"/>
    <cellStyle name="桁区切り 3" xfId="8" xr:uid="{00000000-0005-0000-0000-000007000000}"/>
    <cellStyle name="桁区切り 3 2" xfId="15" xr:uid="{00000000-0005-0000-0000-000008000000}"/>
    <cellStyle name="桁区切り 4" xfId="10" xr:uid="{00000000-0005-0000-0000-000009000000}"/>
    <cellStyle name="中ゴシ" xfId="3" xr:uid="{00000000-0005-0000-0000-00000A000000}"/>
    <cellStyle name="中ゴシ10" xfId="4" xr:uid="{00000000-0005-0000-0000-00000B000000}"/>
    <cellStyle name="標準" xfId="0" builtinId="0"/>
    <cellStyle name="標準 2" xfId="5" xr:uid="{00000000-0005-0000-0000-00000D000000}"/>
    <cellStyle name="標準 2 2" xfId="6" xr:uid="{00000000-0005-0000-0000-00000E000000}"/>
    <cellStyle name="標準 2 3" xfId="18" xr:uid="{00000000-0005-0000-0000-00000F000000}"/>
    <cellStyle name="標準 3" xfId="11" xr:uid="{00000000-0005-0000-0000-000010000000}"/>
    <cellStyle name="標準 3 2" xfId="17" xr:uid="{00000000-0005-0000-0000-000011000000}"/>
    <cellStyle name="標準 5" xfId="9" xr:uid="{00000000-0005-0000-0000-000012000000}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B115"/>
  <sheetViews>
    <sheetView tabSelected="1" view="pageBreakPreview" zoomScaleNormal="100" zoomScaleSheetLayoutView="100" workbookViewId="0">
      <pane xSplit="2" ySplit="6" topLeftCell="C7" activePane="bottomRight" state="frozen"/>
      <selection activeCell="M63" sqref="M63"/>
      <selection pane="topRight" activeCell="M63" sqref="M63"/>
      <selection pane="bottomLeft" activeCell="M63" sqref="M63"/>
      <selection pane="bottomRight" activeCell="F17" sqref="F17"/>
    </sheetView>
  </sheetViews>
  <sheetFormatPr defaultRowHeight="13.5"/>
  <cols>
    <col min="1" max="1" width="2.625" style="225" customWidth="1"/>
    <col min="2" max="2" width="8.625" style="1" customWidth="1"/>
    <col min="3" max="3" width="30.625" style="1" customWidth="1"/>
    <col min="4" max="4" width="13.875" style="1" customWidth="1"/>
    <col min="5" max="5" width="12.25" style="1" customWidth="1"/>
    <col min="6" max="6" width="15.625" style="1" customWidth="1"/>
    <col min="7" max="7" width="10.625" style="11" customWidth="1"/>
    <col min="8" max="8" width="4.625" style="1" customWidth="1"/>
    <col min="9" max="10" width="6.625" style="1" customWidth="1"/>
    <col min="11" max="12" width="7.625" style="1" customWidth="1"/>
    <col min="13" max="13" width="3.625" style="1" customWidth="1"/>
    <col min="14" max="14" width="5.625" style="1" customWidth="1"/>
    <col min="15" max="16" width="6.625" style="1" customWidth="1"/>
    <col min="17" max="19" width="7.625" style="1" customWidth="1"/>
    <col min="20" max="20" width="8.625" style="1" customWidth="1"/>
    <col min="21" max="21" width="4.5" style="2" bestFit="1" customWidth="1"/>
    <col min="22" max="23" width="6.625" style="1" customWidth="1"/>
    <col min="24" max="25" width="7.625" style="1" customWidth="1"/>
    <col min="26" max="26" width="30.625" style="1" customWidth="1"/>
    <col min="27" max="54" width="3.625" style="225" customWidth="1"/>
    <col min="55" max="253" width="8.875" style="225"/>
    <col min="254" max="254" width="2.625" style="225" customWidth="1"/>
    <col min="255" max="255" width="8.625" style="225" customWidth="1"/>
    <col min="256" max="256" width="30.625" style="225" customWidth="1"/>
    <col min="257" max="257" width="15.625" style="225" customWidth="1"/>
    <col min="258" max="258" width="4.625" style="225" customWidth="1"/>
    <col min="259" max="260" width="6.625" style="225" customWidth="1"/>
    <col min="261" max="262" width="7.625" style="225" customWidth="1"/>
    <col min="263" max="263" width="3.625" style="225" customWidth="1"/>
    <col min="264" max="264" width="5.625" style="225" customWidth="1"/>
    <col min="265" max="266" width="6.625" style="225" customWidth="1"/>
    <col min="267" max="268" width="7.625" style="225" customWidth="1"/>
    <col min="269" max="270" width="6.625" style="225" customWidth="1"/>
    <col min="271" max="273" width="7.625" style="225" customWidth="1"/>
    <col min="274" max="274" width="8.625" style="225" customWidth="1"/>
    <col min="275" max="275" width="4.5" style="225" bestFit="1" customWidth="1"/>
    <col min="276" max="277" width="6.625" style="225" customWidth="1"/>
    <col min="278" max="279" width="7.625" style="225" customWidth="1"/>
    <col min="280" max="281" width="15.625" style="225" customWidth="1"/>
    <col min="282" max="282" width="30.625" style="225" customWidth="1"/>
    <col min="283" max="283" width="3.625" style="225" customWidth="1"/>
    <col min="284" max="284" width="0" style="225" hidden="1" customWidth="1"/>
    <col min="285" max="310" width="3.625" style="225" customWidth="1"/>
    <col min="311" max="509" width="8.875" style="225"/>
    <col min="510" max="510" width="2.625" style="225" customWidth="1"/>
    <col min="511" max="511" width="8.625" style="225" customWidth="1"/>
    <col min="512" max="512" width="30.625" style="225" customWidth="1"/>
    <col min="513" max="513" width="15.625" style="225" customWidth="1"/>
    <col min="514" max="514" width="4.625" style="225" customWidth="1"/>
    <col min="515" max="516" width="6.625" style="225" customWidth="1"/>
    <col min="517" max="518" width="7.625" style="225" customWidth="1"/>
    <col min="519" max="519" width="3.625" style="225" customWidth="1"/>
    <col min="520" max="520" width="5.625" style="225" customWidth="1"/>
    <col min="521" max="522" width="6.625" style="225" customWidth="1"/>
    <col min="523" max="524" width="7.625" style="225" customWidth="1"/>
    <col min="525" max="526" width="6.625" style="225" customWidth="1"/>
    <col min="527" max="529" width="7.625" style="225" customWidth="1"/>
    <col min="530" max="530" width="8.625" style="225" customWidth="1"/>
    <col min="531" max="531" width="4.5" style="225" bestFit="1" customWidth="1"/>
    <col min="532" max="533" width="6.625" style="225" customWidth="1"/>
    <col min="534" max="535" width="7.625" style="225" customWidth="1"/>
    <col min="536" max="537" width="15.625" style="225" customWidth="1"/>
    <col min="538" max="538" width="30.625" style="225" customWidth="1"/>
    <col min="539" max="539" width="3.625" style="225" customWidth="1"/>
    <col min="540" max="540" width="0" style="225" hidden="1" customWidth="1"/>
    <col min="541" max="566" width="3.625" style="225" customWidth="1"/>
    <col min="567" max="765" width="8.875" style="225"/>
    <col min="766" max="766" width="2.625" style="225" customWidth="1"/>
    <col min="767" max="767" width="8.625" style="225" customWidth="1"/>
    <col min="768" max="768" width="30.625" style="225" customWidth="1"/>
    <col min="769" max="769" width="15.625" style="225" customWidth="1"/>
    <col min="770" max="770" width="4.625" style="225" customWidth="1"/>
    <col min="771" max="772" width="6.625" style="225" customWidth="1"/>
    <col min="773" max="774" width="7.625" style="225" customWidth="1"/>
    <col min="775" max="775" width="3.625" style="225" customWidth="1"/>
    <col min="776" max="776" width="5.625" style="225" customWidth="1"/>
    <col min="777" max="778" width="6.625" style="225" customWidth="1"/>
    <col min="779" max="780" width="7.625" style="225" customWidth="1"/>
    <col min="781" max="782" width="6.625" style="225" customWidth="1"/>
    <col min="783" max="785" width="7.625" style="225" customWidth="1"/>
    <col min="786" max="786" width="8.625" style="225" customWidth="1"/>
    <col min="787" max="787" width="4.5" style="225" bestFit="1" customWidth="1"/>
    <col min="788" max="789" width="6.625" style="225" customWidth="1"/>
    <col min="790" max="791" width="7.625" style="225" customWidth="1"/>
    <col min="792" max="793" width="15.625" style="225" customWidth="1"/>
    <col min="794" max="794" width="30.625" style="225" customWidth="1"/>
    <col min="795" max="795" width="3.625" style="225" customWidth="1"/>
    <col min="796" max="796" width="0" style="225" hidden="1" customWidth="1"/>
    <col min="797" max="822" width="3.625" style="225" customWidth="1"/>
    <col min="823" max="1021" width="8.875" style="225"/>
    <col min="1022" max="1022" width="2.625" style="225" customWidth="1"/>
    <col min="1023" max="1023" width="8.625" style="225" customWidth="1"/>
    <col min="1024" max="1024" width="30.625" style="225" customWidth="1"/>
    <col min="1025" max="1025" width="15.625" style="225" customWidth="1"/>
    <col min="1026" max="1026" width="4.625" style="225" customWidth="1"/>
    <col min="1027" max="1028" width="6.625" style="225" customWidth="1"/>
    <col min="1029" max="1030" width="7.625" style="225" customWidth="1"/>
    <col min="1031" max="1031" width="3.625" style="225" customWidth="1"/>
    <col min="1032" max="1032" width="5.625" style="225" customWidth="1"/>
    <col min="1033" max="1034" width="6.625" style="225" customWidth="1"/>
    <col min="1035" max="1036" width="7.625" style="225" customWidth="1"/>
    <col min="1037" max="1038" width="6.625" style="225" customWidth="1"/>
    <col min="1039" max="1041" width="7.625" style="225" customWidth="1"/>
    <col min="1042" max="1042" width="8.625" style="225" customWidth="1"/>
    <col min="1043" max="1043" width="4.5" style="225" bestFit="1" customWidth="1"/>
    <col min="1044" max="1045" width="6.625" style="225" customWidth="1"/>
    <col min="1046" max="1047" width="7.625" style="225" customWidth="1"/>
    <col min="1048" max="1049" width="15.625" style="225" customWidth="1"/>
    <col min="1050" max="1050" width="30.625" style="225" customWidth="1"/>
    <col min="1051" max="1051" width="3.625" style="225" customWidth="1"/>
    <col min="1052" max="1052" width="0" style="225" hidden="1" customWidth="1"/>
    <col min="1053" max="1078" width="3.625" style="225" customWidth="1"/>
    <col min="1079" max="1277" width="8.875" style="225"/>
    <col min="1278" max="1278" width="2.625" style="225" customWidth="1"/>
    <col min="1279" max="1279" width="8.625" style="225" customWidth="1"/>
    <col min="1280" max="1280" width="30.625" style="225" customWidth="1"/>
    <col min="1281" max="1281" width="15.625" style="225" customWidth="1"/>
    <col min="1282" max="1282" width="4.625" style="225" customWidth="1"/>
    <col min="1283" max="1284" width="6.625" style="225" customWidth="1"/>
    <col min="1285" max="1286" width="7.625" style="225" customWidth="1"/>
    <col min="1287" max="1287" width="3.625" style="225" customWidth="1"/>
    <col min="1288" max="1288" width="5.625" style="225" customWidth="1"/>
    <col min="1289" max="1290" width="6.625" style="225" customWidth="1"/>
    <col min="1291" max="1292" width="7.625" style="225" customWidth="1"/>
    <col min="1293" max="1294" width="6.625" style="225" customWidth="1"/>
    <col min="1295" max="1297" width="7.625" style="225" customWidth="1"/>
    <col min="1298" max="1298" width="8.625" style="225" customWidth="1"/>
    <col min="1299" max="1299" width="4.5" style="225" bestFit="1" customWidth="1"/>
    <col min="1300" max="1301" width="6.625" style="225" customWidth="1"/>
    <col min="1302" max="1303" width="7.625" style="225" customWidth="1"/>
    <col min="1304" max="1305" width="15.625" style="225" customWidth="1"/>
    <col min="1306" max="1306" width="30.625" style="225" customWidth="1"/>
    <col min="1307" max="1307" width="3.625" style="225" customWidth="1"/>
    <col min="1308" max="1308" width="0" style="225" hidden="1" customWidth="1"/>
    <col min="1309" max="1334" width="3.625" style="225" customWidth="1"/>
    <col min="1335" max="1533" width="8.875" style="225"/>
    <col min="1534" max="1534" width="2.625" style="225" customWidth="1"/>
    <col min="1535" max="1535" width="8.625" style="225" customWidth="1"/>
    <col min="1536" max="1536" width="30.625" style="225" customWidth="1"/>
    <col min="1537" max="1537" width="15.625" style="225" customWidth="1"/>
    <col min="1538" max="1538" width="4.625" style="225" customWidth="1"/>
    <col min="1539" max="1540" width="6.625" style="225" customWidth="1"/>
    <col min="1541" max="1542" width="7.625" style="225" customWidth="1"/>
    <col min="1543" max="1543" width="3.625" style="225" customWidth="1"/>
    <col min="1544" max="1544" width="5.625" style="225" customWidth="1"/>
    <col min="1545" max="1546" width="6.625" style="225" customWidth="1"/>
    <col min="1547" max="1548" width="7.625" style="225" customWidth="1"/>
    <col min="1549" max="1550" width="6.625" style="225" customWidth="1"/>
    <col min="1551" max="1553" width="7.625" style="225" customWidth="1"/>
    <col min="1554" max="1554" width="8.625" style="225" customWidth="1"/>
    <col min="1555" max="1555" width="4.5" style="225" bestFit="1" customWidth="1"/>
    <col min="1556" max="1557" width="6.625" style="225" customWidth="1"/>
    <col min="1558" max="1559" width="7.625" style="225" customWidth="1"/>
    <col min="1560" max="1561" width="15.625" style="225" customWidth="1"/>
    <col min="1562" max="1562" width="30.625" style="225" customWidth="1"/>
    <col min="1563" max="1563" width="3.625" style="225" customWidth="1"/>
    <col min="1564" max="1564" width="0" style="225" hidden="1" customWidth="1"/>
    <col min="1565" max="1590" width="3.625" style="225" customWidth="1"/>
    <col min="1591" max="1789" width="8.875" style="225"/>
    <col min="1790" max="1790" width="2.625" style="225" customWidth="1"/>
    <col min="1791" max="1791" width="8.625" style="225" customWidth="1"/>
    <col min="1792" max="1792" width="30.625" style="225" customWidth="1"/>
    <col min="1793" max="1793" width="15.625" style="225" customWidth="1"/>
    <col min="1794" max="1794" width="4.625" style="225" customWidth="1"/>
    <col min="1795" max="1796" width="6.625" style="225" customWidth="1"/>
    <col min="1797" max="1798" width="7.625" style="225" customWidth="1"/>
    <col min="1799" max="1799" width="3.625" style="225" customWidth="1"/>
    <col min="1800" max="1800" width="5.625" style="225" customWidth="1"/>
    <col min="1801" max="1802" width="6.625" style="225" customWidth="1"/>
    <col min="1803" max="1804" width="7.625" style="225" customWidth="1"/>
    <col min="1805" max="1806" width="6.625" style="225" customWidth="1"/>
    <col min="1807" max="1809" width="7.625" style="225" customWidth="1"/>
    <col min="1810" max="1810" width="8.625" style="225" customWidth="1"/>
    <col min="1811" max="1811" width="4.5" style="225" bestFit="1" customWidth="1"/>
    <col min="1812" max="1813" width="6.625" style="225" customWidth="1"/>
    <col min="1814" max="1815" width="7.625" style="225" customWidth="1"/>
    <col min="1816" max="1817" width="15.625" style="225" customWidth="1"/>
    <col min="1818" max="1818" width="30.625" style="225" customWidth="1"/>
    <col min="1819" max="1819" width="3.625" style="225" customWidth="1"/>
    <col min="1820" max="1820" width="0" style="225" hidden="1" customWidth="1"/>
    <col min="1821" max="1846" width="3.625" style="225" customWidth="1"/>
    <col min="1847" max="2045" width="8.875" style="225"/>
    <col min="2046" max="2046" width="2.625" style="225" customWidth="1"/>
    <col min="2047" max="2047" width="8.625" style="225" customWidth="1"/>
    <col min="2048" max="2048" width="30.625" style="225" customWidth="1"/>
    <col min="2049" max="2049" width="15.625" style="225" customWidth="1"/>
    <col min="2050" max="2050" width="4.625" style="225" customWidth="1"/>
    <col min="2051" max="2052" width="6.625" style="225" customWidth="1"/>
    <col min="2053" max="2054" width="7.625" style="225" customWidth="1"/>
    <col min="2055" max="2055" width="3.625" style="225" customWidth="1"/>
    <col min="2056" max="2056" width="5.625" style="225" customWidth="1"/>
    <col min="2057" max="2058" width="6.625" style="225" customWidth="1"/>
    <col min="2059" max="2060" width="7.625" style="225" customWidth="1"/>
    <col min="2061" max="2062" width="6.625" style="225" customWidth="1"/>
    <col min="2063" max="2065" width="7.625" style="225" customWidth="1"/>
    <col min="2066" max="2066" width="8.625" style="225" customWidth="1"/>
    <col min="2067" max="2067" width="4.5" style="225" bestFit="1" customWidth="1"/>
    <col min="2068" max="2069" width="6.625" style="225" customWidth="1"/>
    <col min="2070" max="2071" width="7.625" style="225" customWidth="1"/>
    <col min="2072" max="2073" width="15.625" style="225" customWidth="1"/>
    <col min="2074" max="2074" width="30.625" style="225" customWidth="1"/>
    <col min="2075" max="2075" width="3.625" style="225" customWidth="1"/>
    <col min="2076" max="2076" width="0" style="225" hidden="1" customWidth="1"/>
    <col min="2077" max="2102" width="3.625" style="225" customWidth="1"/>
    <col min="2103" max="2301" width="8.875" style="225"/>
    <col min="2302" max="2302" width="2.625" style="225" customWidth="1"/>
    <col min="2303" max="2303" width="8.625" style="225" customWidth="1"/>
    <col min="2304" max="2304" width="30.625" style="225" customWidth="1"/>
    <col min="2305" max="2305" width="15.625" style="225" customWidth="1"/>
    <col min="2306" max="2306" width="4.625" style="225" customWidth="1"/>
    <col min="2307" max="2308" width="6.625" style="225" customWidth="1"/>
    <col min="2309" max="2310" width="7.625" style="225" customWidth="1"/>
    <col min="2311" max="2311" width="3.625" style="225" customWidth="1"/>
    <col min="2312" max="2312" width="5.625" style="225" customWidth="1"/>
    <col min="2313" max="2314" width="6.625" style="225" customWidth="1"/>
    <col min="2315" max="2316" width="7.625" style="225" customWidth="1"/>
    <col min="2317" max="2318" width="6.625" style="225" customWidth="1"/>
    <col min="2319" max="2321" width="7.625" style="225" customWidth="1"/>
    <col min="2322" max="2322" width="8.625" style="225" customWidth="1"/>
    <col min="2323" max="2323" width="4.5" style="225" bestFit="1" customWidth="1"/>
    <col min="2324" max="2325" width="6.625" style="225" customWidth="1"/>
    <col min="2326" max="2327" width="7.625" style="225" customWidth="1"/>
    <col min="2328" max="2329" width="15.625" style="225" customWidth="1"/>
    <col min="2330" max="2330" width="30.625" style="225" customWidth="1"/>
    <col min="2331" max="2331" width="3.625" style="225" customWidth="1"/>
    <col min="2332" max="2332" width="0" style="225" hidden="1" customWidth="1"/>
    <col min="2333" max="2358" width="3.625" style="225" customWidth="1"/>
    <col min="2359" max="2557" width="8.875" style="225"/>
    <col min="2558" max="2558" width="2.625" style="225" customWidth="1"/>
    <col min="2559" max="2559" width="8.625" style="225" customWidth="1"/>
    <col min="2560" max="2560" width="30.625" style="225" customWidth="1"/>
    <col min="2561" max="2561" width="15.625" style="225" customWidth="1"/>
    <col min="2562" max="2562" width="4.625" style="225" customWidth="1"/>
    <col min="2563" max="2564" width="6.625" style="225" customWidth="1"/>
    <col min="2565" max="2566" width="7.625" style="225" customWidth="1"/>
    <col min="2567" max="2567" width="3.625" style="225" customWidth="1"/>
    <col min="2568" max="2568" width="5.625" style="225" customWidth="1"/>
    <col min="2569" max="2570" width="6.625" style="225" customWidth="1"/>
    <col min="2571" max="2572" width="7.625" style="225" customWidth="1"/>
    <col min="2573" max="2574" width="6.625" style="225" customWidth="1"/>
    <col min="2575" max="2577" width="7.625" style="225" customWidth="1"/>
    <col min="2578" max="2578" width="8.625" style="225" customWidth="1"/>
    <col min="2579" max="2579" width="4.5" style="225" bestFit="1" customWidth="1"/>
    <col min="2580" max="2581" width="6.625" style="225" customWidth="1"/>
    <col min="2582" max="2583" width="7.625" style="225" customWidth="1"/>
    <col min="2584" max="2585" width="15.625" style="225" customWidth="1"/>
    <col min="2586" max="2586" width="30.625" style="225" customWidth="1"/>
    <col min="2587" max="2587" width="3.625" style="225" customWidth="1"/>
    <col min="2588" max="2588" width="0" style="225" hidden="1" customWidth="1"/>
    <col min="2589" max="2614" width="3.625" style="225" customWidth="1"/>
    <col min="2615" max="2813" width="8.875" style="225"/>
    <col min="2814" max="2814" width="2.625" style="225" customWidth="1"/>
    <col min="2815" max="2815" width="8.625" style="225" customWidth="1"/>
    <col min="2816" max="2816" width="30.625" style="225" customWidth="1"/>
    <col min="2817" max="2817" width="15.625" style="225" customWidth="1"/>
    <col min="2818" max="2818" width="4.625" style="225" customWidth="1"/>
    <col min="2819" max="2820" width="6.625" style="225" customWidth="1"/>
    <col min="2821" max="2822" width="7.625" style="225" customWidth="1"/>
    <col min="2823" max="2823" width="3.625" style="225" customWidth="1"/>
    <col min="2824" max="2824" width="5.625" style="225" customWidth="1"/>
    <col min="2825" max="2826" width="6.625" style="225" customWidth="1"/>
    <col min="2827" max="2828" width="7.625" style="225" customWidth="1"/>
    <col min="2829" max="2830" width="6.625" style="225" customWidth="1"/>
    <col min="2831" max="2833" width="7.625" style="225" customWidth="1"/>
    <col min="2834" max="2834" width="8.625" style="225" customWidth="1"/>
    <col min="2835" max="2835" width="4.5" style="225" bestFit="1" customWidth="1"/>
    <col min="2836" max="2837" width="6.625" style="225" customWidth="1"/>
    <col min="2838" max="2839" width="7.625" style="225" customWidth="1"/>
    <col min="2840" max="2841" width="15.625" style="225" customWidth="1"/>
    <col min="2842" max="2842" width="30.625" style="225" customWidth="1"/>
    <col min="2843" max="2843" width="3.625" style="225" customWidth="1"/>
    <col min="2844" max="2844" width="0" style="225" hidden="1" customWidth="1"/>
    <col min="2845" max="2870" width="3.625" style="225" customWidth="1"/>
    <col min="2871" max="3069" width="8.875" style="225"/>
    <col min="3070" max="3070" width="2.625" style="225" customWidth="1"/>
    <col min="3071" max="3071" width="8.625" style="225" customWidth="1"/>
    <col min="3072" max="3072" width="30.625" style="225" customWidth="1"/>
    <col min="3073" max="3073" width="15.625" style="225" customWidth="1"/>
    <col min="3074" max="3074" width="4.625" style="225" customWidth="1"/>
    <col min="3075" max="3076" width="6.625" style="225" customWidth="1"/>
    <col min="3077" max="3078" width="7.625" style="225" customWidth="1"/>
    <col min="3079" max="3079" width="3.625" style="225" customWidth="1"/>
    <col min="3080" max="3080" width="5.625" style="225" customWidth="1"/>
    <col min="3081" max="3082" width="6.625" style="225" customWidth="1"/>
    <col min="3083" max="3084" width="7.625" style="225" customWidth="1"/>
    <col min="3085" max="3086" width="6.625" style="225" customWidth="1"/>
    <col min="3087" max="3089" width="7.625" style="225" customWidth="1"/>
    <col min="3090" max="3090" width="8.625" style="225" customWidth="1"/>
    <col min="3091" max="3091" width="4.5" style="225" bestFit="1" customWidth="1"/>
    <col min="3092" max="3093" width="6.625" style="225" customWidth="1"/>
    <col min="3094" max="3095" width="7.625" style="225" customWidth="1"/>
    <col min="3096" max="3097" width="15.625" style="225" customWidth="1"/>
    <col min="3098" max="3098" width="30.625" style="225" customWidth="1"/>
    <col min="3099" max="3099" width="3.625" style="225" customWidth="1"/>
    <col min="3100" max="3100" width="0" style="225" hidden="1" customWidth="1"/>
    <col min="3101" max="3126" width="3.625" style="225" customWidth="1"/>
    <col min="3127" max="3325" width="8.875" style="225"/>
    <col min="3326" max="3326" width="2.625" style="225" customWidth="1"/>
    <col min="3327" max="3327" width="8.625" style="225" customWidth="1"/>
    <col min="3328" max="3328" width="30.625" style="225" customWidth="1"/>
    <col min="3329" max="3329" width="15.625" style="225" customWidth="1"/>
    <col min="3330" max="3330" width="4.625" style="225" customWidth="1"/>
    <col min="3331" max="3332" width="6.625" style="225" customWidth="1"/>
    <col min="3333" max="3334" width="7.625" style="225" customWidth="1"/>
    <col min="3335" max="3335" width="3.625" style="225" customWidth="1"/>
    <col min="3336" max="3336" width="5.625" style="225" customWidth="1"/>
    <col min="3337" max="3338" width="6.625" style="225" customWidth="1"/>
    <col min="3339" max="3340" width="7.625" style="225" customWidth="1"/>
    <col min="3341" max="3342" width="6.625" style="225" customWidth="1"/>
    <col min="3343" max="3345" width="7.625" style="225" customWidth="1"/>
    <col min="3346" max="3346" width="8.625" style="225" customWidth="1"/>
    <col min="3347" max="3347" width="4.5" style="225" bestFit="1" customWidth="1"/>
    <col min="3348" max="3349" width="6.625" style="225" customWidth="1"/>
    <col min="3350" max="3351" width="7.625" style="225" customWidth="1"/>
    <col min="3352" max="3353" width="15.625" style="225" customWidth="1"/>
    <col min="3354" max="3354" width="30.625" style="225" customWidth="1"/>
    <col min="3355" max="3355" width="3.625" style="225" customWidth="1"/>
    <col min="3356" max="3356" width="0" style="225" hidden="1" customWidth="1"/>
    <col min="3357" max="3382" width="3.625" style="225" customWidth="1"/>
    <col min="3383" max="3581" width="8.875" style="225"/>
    <col min="3582" max="3582" width="2.625" style="225" customWidth="1"/>
    <col min="3583" max="3583" width="8.625" style="225" customWidth="1"/>
    <col min="3584" max="3584" width="30.625" style="225" customWidth="1"/>
    <col min="3585" max="3585" width="15.625" style="225" customWidth="1"/>
    <col min="3586" max="3586" width="4.625" style="225" customWidth="1"/>
    <col min="3587" max="3588" width="6.625" style="225" customWidth="1"/>
    <col min="3589" max="3590" width="7.625" style="225" customWidth="1"/>
    <col min="3591" max="3591" width="3.625" style="225" customWidth="1"/>
    <col min="3592" max="3592" width="5.625" style="225" customWidth="1"/>
    <col min="3593" max="3594" width="6.625" style="225" customWidth="1"/>
    <col min="3595" max="3596" width="7.625" style="225" customWidth="1"/>
    <col min="3597" max="3598" width="6.625" style="225" customWidth="1"/>
    <col min="3599" max="3601" width="7.625" style="225" customWidth="1"/>
    <col min="3602" max="3602" width="8.625" style="225" customWidth="1"/>
    <col min="3603" max="3603" width="4.5" style="225" bestFit="1" customWidth="1"/>
    <col min="3604" max="3605" width="6.625" style="225" customWidth="1"/>
    <col min="3606" max="3607" width="7.625" style="225" customWidth="1"/>
    <col min="3608" max="3609" width="15.625" style="225" customWidth="1"/>
    <col min="3610" max="3610" width="30.625" style="225" customWidth="1"/>
    <col min="3611" max="3611" width="3.625" style="225" customWidth="1"/>
    <col min="3612" max="3612" width="0" style="225" hidden="1" customWidth="1"/>
    <col min="3613" max="3638" width="3.625" style="225" customWidth="1"/>
    <col min="3639" max="3837" width="8.875" style="225"/>
    <col min="3838" max="3838" width="2.625" style="225" customWidth="1"/>
    <col min="3839" max="3839" width="8.625" style="225" customWidth="1"/>
    <col min="3840" max="3840" width="30.625" style="225" customWidth="1"/>
    <col min="3841" max="3841" width="15.625" style="225" customWidth="1"/>
    <col min="3842" max="3842" width="4.625" style="225" customWidth="1"/>
    <col min="3843" max="3844" width="6.625" style="225" customWidth="1"/>
    <col min="3845" max="3846" width="7.625" style="225" customWidth="1"/>
    <col min="3847" max="3847" width="3.625" style="225" customWidth="1"/>
    <col min="3848" max="3848" width="5.625" style="225" customWidth="1"/>
    <col min="3849" max="3850" width="6.625" style="225" customWidth="1"/>
    <col min="3851" max="3852" width="7.625" style="225" customWidth="1"/>
    <col min="3853" max="3854" width="6.625" style="225" customWidth="1"/>
    <col min="3855" max="3857" width="7.625" style="225" customWidth="1"/>
    <col min="3858" max="3858" width="8.625" style="225" customWidth="1"/>
    <col min="3859" max="3859" width="4.5" style="225" bestFit="1" customWidth="1"/>
    <col min="3860" max="3861" width="6.625" style="225" customWidth="1"/>
    <col min="3862" max="3863" width="7.625" style="225" customWidth="1"/>
    <col min="3864" max="3865" width="15.625" style="225" customWidth="1"/>
    <col min="3866" max="3866" width="30.625" style="225" customWidth="1"/>
    <col min="3867" max="3867" width="3.625" style="225" customWidth="1"/>
    <col min="3868" max="3868" width="0" style="225" hidden="1" customWidth="1"/>
    <col min="3869" max="3894" width="3.625" style="225" customWidth="1"/>
    <col min="3895" max="4093" width="8.875" style="225"/>
    <col min="4094" max="4094" width="2.625" style="225" customWidth="1"/>
    <col min="4095" max="4095" width="8.625" style="225" customWidth="1"/>
    <col min="4096" max="4096" width="30.625" style="225" customWidth="1"/>
    <col min="4097" max="4097" width="15.625" style="225" customWidth="1"/>
    <col min="4098" max="4098" width="4.625" style="225" customWidth="1"/>
    <col min="4099" max="4100" width="6.625" style="225" customWidth="1"/>
    <col min="4101" max="4102" width="7.625" style="225" customWidth="1"/>
    <col min="4103" max="4103" width="3.625" style="225" customWidth="1"/>
    <col min="4104" max="4104" width="5.625" style="225" customWidth="1"/>
    <col min="4105" max="4106" width="6.625" style="225" customWidth="1"/>
    <col min="4107" max="4108" width="7.625" style="225" customWidth="1"/>
    <col min="4109" max="4110" width="6.625" style="225" customWidth="1"/>
    <col min="4111" max="4113" width="7.625" style="225" customWidth="1"/>
    <col min="4114" max="4114" width="8.625" style="225" customWidth="1"/>
    <col min="4115" max="4115" width="4.5" style="225" bestFit="1" customWidth="1"/>
    <col min="4116" max="4117" width="6.625" style="225" customWidth="1"/>
    <col min="4118" max="4119" width="7.625" style="225" customWidth="1"/>
    <col min="4120" max="4121" width="15.625" style="225" customWidth="1"/>
    <col min="4122" max="4122" width="30.625" style="225" customWidth="1"/>
    <col min="4123" max="4123" width="3.625" style="225" customWidth="1"/>
    <col min="4124" max="4124" width="0" style="225" hidden="1" customWidth="1"/>
    <col min="4125" max="4150" width="3.625" style="225" customWidth="1"/>
    <col min="4151" max="4349" width="8.875" style="225"/>
    <col min="4350" max="4350" width="2.625" style="225" customWidth="1"/>
    <col min="4351" max="4351" width="8.625" style="225" customWidth="1"/>
    <col min="4352" max="4352" width="30.625" style="225" customWidth="1"/>
    <col min="4353" max="4353" width="15.625" style="225" customWidth="1"/>
    <col min="4354" max="4354" width="4.625" style="225" customWidth="1"/>
    <col min="4355" max="4356" width="6.625" style="225" customWidth="1"/>
    <col min="4357" max="4358" width="7.625" style="225" customWidth="1"/>
    <col min="4359" max="4359" width="3.625" style="225" customWidth="1"/>
    <col min="4360" max="4360" width="5.625" style="225" customWidth="1"/>
    <col min="4361" max="4362" width="6.625" style="225" customWidth="1"/>
    <col min="4363" max="4364" width="7.625" style="225" customWidth="1"/>
    <col min="4365" max="4366" width="6.625" style="225" customWidth="1"/>
    <col min="4367" max="4369" width="7.625" style="225" customWidth="1"/>
    <col min="4370" max="4370" width="8.625" style="225" customWidth="1"/>
    <col min="4371" max="4371" width="4.5" style="225" bestFit="1" customWidth="1"/>
    <col min="4372" max="4373" width="6.625" style="225" customWidth="1"/>
    <col min="4374" max="4375" width="7.625" style="225" customWidth="1"/>
    <col min="4376" max="4377" width="15.625" style="225" customWidth="1"/>
    <col min="4378" max="4378" width="30.625" style="225" customWidth="1"/>
    <col min="4379" max="4379" width="3.625" style="225" customWidth="1"/>
    <col min="4380" max="4380" width="0" style="225" hidden="1" customWidth="1"/>
    <col min="4381" max="4406" width="3.625" style="225" customWidth="1"/>
    <col min="4407" max="4605" width="8.875" style="225"/>
    <col min="4606" max="4606" width="2.625" style="225" customWidth="1"/>
    <col min="4607" max="4607" width="8.625" style="225" customWidth="1"/>
    <col min="4608" max="4608" width="30.625" style="225" customWidth="1"/>
    <col min="4609" max="4609" width="15.625" style="225" customWidth="1"/>
    <col min="4610" max="4610" width="4.625" style="225" customWidth="1"/>
    <col min="4611" max="4612" width="6.625" style="225" customWidth="1"/>
    <col min="4613" max="4614" width="7.625" style="225" customWidth="1"/>
    <col min="4615" max="4615" width="3.625" style="225" customWidth="1"/>
    <col min="4616" max="4616" width="5.625" style="225" customWidth="1"/>
    <col min="4617" max="4618" width="6.625" style="225" customWidth="1"/>
    <col min="4619" max="4620" width="7.625" style="225" customWidth="1"/>
    <col min="4621" max="4622" width="6.625" style="225" customWidth="1"/>
    <col min="4623" max="4625" width="7.625" style="225" customWidth="1"/>
    <col min="4626" max="4626" width="8.625" style="225" customWidth="1"/>
    <col min="4627" max="4627" width="4.5" style="225" bestFit="1" customWidth="1"/>
    <col min="4628" max="4629" width="6.625" style="225" customWidth="1"/>
    <col min="4630" max="4631" width="7.625" style="225" customWidth="1"/>
    <col min="4632" max="4633" width="15.625" style="225" customWidth="1"/>
    <col min="4634" max="4634" width="30.625" style="225" customWidth="1"/>
    <col min="4635" max="4635" width="3.625" style="225" customWidth="1"/>
    <col min="4636" max="4636" width="0" style="225" hidden="1" customWidth="1"/>
    <col min="4637" max="4662" width="3.625" style="225" customWidth="1"/>
    <col min="4663" max="4861" width="8.875" style="225"/>
    <col min="4862" max="4862" width="2.625" style="225" customWidth="1"/>
    <col min="4863" max="4863" width="8.625" style="225" customWidth="1"/>
    <col min="4864" max="4864" width="30.625" style="225" customWidth="1"/>
    <col min="4865" max="4865" width="15.625" style="225" customWidth="1"/>
    <col min="4866" max="4866" width="4.625" style="225" customWidth="1"/>
    <col min="4867" max="4868" width="6.625" style="225" customWidth="1"/>
    <col min="4869" max="4870" width="7.625" style="225" customWidth="1"/>
    <col min="4871" max="4871" width="3.625" style="225" customWidth="1"/>
    <col min="4872" max="4872" width="5.625" style="225" customWidth="1"/>
    <col min="4873" max="4874" width="6.625" style="225" customWidth="1"/>
    <col min="4875" max="4876" width="7.625" style="225" customWidth="1"/>
    <col min="4877" max="4878" width="6.625" style="225" customWidth="1"/>
    <col min="4879" max="4881" width="7.625" style="225" customWidth="1"/>
    <col min="4882" max="4882" width="8.625" style="225" customWidth="1"/>
    <col min="4883" max="4883" width="4.5" style="225" bestFit="1" customWidth="1"/>
    <col min="4884" max="4885" width="6.625" style="225" customWidth="1"/>
    <col min="4886" max="4887" width="7.625" style="225" customWidth="1"/>
    <col min="4888" max="4889" width="15.625" style="225" customWidth="1"/>
    <col min="4890" max="4890" width="30.625" style="225" customWidth="1"/>
    <col min="4891" max="4891" width="3.625" style="225" customWidth="1"/>
    <col min="4892" max="4892" width="0" style="225" hidden="1" customWidth="1"/>
    <col min="4893" max="4918" width="3.625" style="225" customWidth="1"/>
    <col min="4919" max="5117" width="8.875" style="225"/>
    <col min="5118" max="5118" width="2.625" style="225" customWidth="1"/>
    <col min="5119" max="5119" width="8.625" style="225" customWidth="1"/>
    <col min="5120" max="5120" width="30.625" style="225" customWidth="1"/>
    <col min="5121" max="5121" width="15.625" style="225" customWidth="1"/>
    <col min="5122" max="5122" width="4.625" style="225" customWidth="1"/>
    <col min="5123" max="5124" width="6.625" style="225" customWidth="1"/>
    <col min="5125" max="5126" width="7.625" style="225" customWidth="1"/>
    <col min="5127" max="5127" width="3.625" style="225" customWidth="1"/>
    <col min="5128" max="5128" width="5.625" style="225" customWidth="1"/>
    <col min="5129" max="5130" width="6.625" style="225" customWidth="1"/>
    <col min="5131" max="5132" width="7.625" style="225" customWidth="1"/>
    <col min="5133" max="5134" width="6.625" style="225" customWidth="1"/>
    <col min="5135" max="5137" width="7.625" style="225" customWidth="1"/>
    <col min="5138" max="5138" width="8.625" style="225" customWidth="1"/>
    <col min="5139" max="5139" width="4.5" style="225" bestFit="1" customWidth="1"/>
    <col min="5140" max="5141" width="6.625" style="225" customWidth="1"/>
    <col min="5142" max="5143" width="7.625" style="225" customWidth="1"/>
    <col min="5144" max="5145" width="15.625" style="225" customWidth="1"/>
    <col min="5146" max="5146" width="30.625" style="225" customWidth="1"/>
    <col min="5147" max="5147" width="3.625" style="225" customWidth="1"/>
    <col min="5148" max="5148" width="0" style="225" hidden="1" customWidth="1"/>
    <col min="5149" max="5174" width="3.625" style="225" customWidth="1"/>
    <col min="5175" max="5373" width="8.875" style="225"/>
    <col min="5374" max="5374" width="2.625" style="225" customWidth="1"/>
    <col min="5375" max="5375" width="8.625" style="225" customWidth="1"/>
    <col min="5376" max="5376" width="30.625" style="225" customWidth="1"/>
    <col min="5377" max="5377" width="15.625" style="225" customWidth="1"/>
    <col min="5378" max="5378" width="4.625" style="225" customWidth="1"/>
    <col min="5379" max="5380" width="6.625" style="225" customWidth="1"/>
    <col min="5381" max="5382" width="7.625" style="225" customWidth="1"/>
    <col min="5383" max="5383" width="3.625" style="225" customWidth="1"/>
    <col min="5384" max="5384" width="5.625" style="225" customWidth="1"/>
    <col min="5385" max="5386" width="6.625" style="225" customWidth="1"/>
    <col min="5387" max="5388" width="7.625" style="225" customWidth="1"/>
    <col min="5389" max="5390" width="6.625" style="225" customWidth="1"/>
    <col min="5391" max="5393" width="7.625" style="225" customWidth="1"/>
    <col min="5394" max="5394" width="8.625" style="225" customWidth="1"/>
    <col min="5395" max="5395" width="4.5" style="225" bestFit="1" customWidth="1"/>
    <col min="5396" max="5397" width="6.625" style="225" customWidth="1"/>
    <col min="5398" max="5399" width="7.625" style="225" customWidth="1"/>
    <col min="5400" max="5401" width="15.625" style="225" customWidth="1"/>
    <col min="5402" max="5402" width="30.625" style="225" customWidth="1"/>
    <col min="5403" max="5403" width="3.625" style="225" customWidth="1"/>
    <col min="5404" max="5404" width="0" style="225" hidden="1" customWidth="1"/>
    <col min="5405" max="5430" width="3.625" style="225" customWidth="1"/>
    <col min="5431" max="5629" width="8.875" style="225"/>
    <col min="5630" max="5630" width="2.625" style="225" customWidth="1"/>
    <col min="5631" max="5631" width="8.625" style="225" customWidth="1"/>
    <col min="5632" max="5632" width="30.625" style="225" customWidth="1"/>
    <col min="5633" max="5633" width="15.625" style="225" customWidth="1"/>
    <col min="5634" max="5634" width="4.625" style="225" customWidth="1"/>
    <col min="5635" max="5636" width="6.625" style="225" customWidth="1"/>
    <col min="5637" max="5638" width="7.625" style="225" customWidth="1"/>
    <col min="5639" max="5639" width="3.625" style="225" customWidth="1"/>
    <col min="5640" max="5640" width="5.625" style="225" customWidth="1"/>
    <col min="5641" max="5642" width="6.625" style="225" customWidth="1"/>
    <col min="5643" max="5644" width="7.625" style="225" customWidth="1"/>
    <col min="5645" max="5646" width="6.625" style="225" customWidth="1"/>
    <col min="5647" max="5649" width="7.625" style="225" customWidth="1"/>
    <col min="5650" max="5650" width="8.625" style="225" customWidth="1"/>
    <col min="5651" max="5651" width="4.5" style="225" bestFit="1" customWidth="1"/>
    <col min="5652" max="5653" width="6.625" style="225" customWidth="1"/>
    <col min="5654" max="5655" width="7.625" style="225" customWidth="1"/>
    <col min="5656" max="5657" width="15.625" style="225" customWidth="1"/>
    <col min="5658" max="5658" width="30.625" style="225" customWidth="1"/>
    <col min="5659" max="5659" width="3.625" style="225" customWidth="1"/>
    <col min="5660" max="5660" width="0" style="225" hidden="1" customWidth="1"/>
    <col min="5661" max="5686" width="3.625" style="225" customWidth="1"/>
    <col min="5687" max="5885" width="8.875" style="225"/>
    <col min="5886" max="5886" width="2.625" style="225" customWidth="1"/>
    <col min="5887" max="5887" width="8.625" style="225" customWidth="1"/>
    <col min="5888" max="5888" width="30.625" style="225" customWidth="1"/>
    <col min="5889" max="5889" width="15.625" style="225" customWidth="1"/>
    <col min="5890" max="5890" width="4.625" style="225" customWidth="1"/>
    <col min="5891" max="5892" width="6.625" style="225" customWidth="1"/>
    <col min="5893" max="5894" width="7.625" style="225" customWidth="1"/>
    <col min="5895" max="5895" width="3.625" style="225" customWidth="1"/>
    <col min="5896" max="5896" width="5.625" style="225" customWidth="1"/>
    <col min="5897" max="5898" width="6.625" style="225" customWidth="1"/>
    <col min="5899" max="5900" width="7.625" style="225" customWidth="1"/>
    <col min="5901" max="5902" width="6.625" style="225" customWidth="1"/>
    <col min="5903" max="5905" width="7.625" style="225" customWidth="1"/>
    <col min="5906" max="5906" width="8.625" style="225" customWidth="1"/>
    <col min="5907" max="5907" width="4.5" style="225" bestFit="1" customWidth="1"/>
    <col min="5908" max="5909" width="6.625" style="225" customWidth="1"/>
    <col min="5910" max="5911" width="7.625" style="225" customWidth="1"/>
    <col min="5912" max="5913" width="15.625" style="225" customWidth="1"/>
    <col min="5914" max="5914" width="30.625" style="225" customWidth="1"/>
    <col min="5915" max="5915" width="3.625" style="225" customWidth="1"/>
    <col min="5916" max="5916" width="0" style="225" hidden="1" customWidth="1"/>
    <col min="5917" max="5942" width="3.625" style="225" customWidth="1"/>
    <col min="5943" max="6141" width="8.875" style="225"/>
    <col min="6142" max="6142" width="2.625" style="225" customWidth="1"/>
    <col min="6143" max="6143" width="8.625" style="225" customWidth="1"/>
    <col min="6144" max="6144" width="30.625" style="225" customWidth="1"/>
    <col min="6145" max="6145" width="15.625" style="225" customWidth="1"/>
    <col min="6146" max="6146" width="4.625" style="225" customWidth="1"/>
    <col min="6147" max="6148" width="6.625" style="225" customWidth="1"/>
    <col min="6149" max="6150" width="7.625" style="225" customWidth="1"/>
    <col min="6151" max="6151" width="3.625" style="225" customWidth="1"/>
    <col min="6152" max="6152" width="5.625" style="225" customWidth="1"/>
    <col min="6153" max="6154" width="6.625" style="225" customWidth="1"/>
    <col min="6155" max="6156" width="7.625" style="225" customWidth="1"/>
    <col min="6157" max="6158" width="6.625" style="225" customWidth="1"/>
    <col min="6159" max="6161" width="7.625" style="225" customWidth="1"/>
    <col min="6162" max="6162" width="8.625" style="225" customWidth="1"/>
    <col min="6163" max="6163" width="4.5" style="225" bestFit="1" customWidth="1"/>
    <col min="6164" max="6165" width="6.625" style="225" customWidth="1"/>
    <col min="6166" max="6167" width="7.625" style="225" customWidth="1"/>
    <col min="6168" max="6169" width="15.625" style="225" customWidth="1"/>
    <col min="6170" max="6170" width="30.625" style="225" customWidth="1"/>
    <col min="6171" max="6171" width="3.625" style="225" customWidth="1"/>
    <col min="6172" max="6172" width="0" style="225" hidden="1" customWidth="1"/>
    <col min="6173" max="6198" width="3.625" style="225" customWidth="1"/>
    <col min="6199" max="6397" width="8.875" style="225"/>
    <col min="6398" max="6398" width="2.625" style="225" customWidth="1"/>
    <col min="6399" max="6399" width="8.625" style="225" customWidth="1"/>
    <col min="6400" max="6400" width="30.625" style="225" customWidth="1"/>
    <col min="6401" max="6401" width="15.625" style="225" customWidth="1"/>
    <col min="6402" max="6402" width="4.625" style="225" customWidth="1"/>
    <col min="6403" max="6404" width="6.625" style="225" customWidth="1"/>
    <col min="6405" max="6406" width="7.625" style="225" customWidth="1"/>
    <col min="6407" max="6407" width="3.625" style="225" customWidth="1"/>
    <col min="6408" max="6408" width="5.625" style="225" customWidth="1"/>
    <col min="6409" max="6410" width="6.625" style="225" customWidth="1"/>
    <col min="6411" max="6412" width="7.625" style="225" customWidth="1"/>
    <col min="6413" max="6414" width="6.625" style="225" customWidth="1"/>
    <col min="6415" max="6417" width="7.625" style="225" customWidth="1"/>
    <col min="6418" max="6418" width="8.625" style="225" customWidth="1"/>
    <col min="6419" max="6419" width="4.5" style="225" bestFit="1" customWidth="1"/>
    <col min="6420" max="6421" width="6.625" style="225" customWidth="1"/>
    <col min="6422" max="6423" width="7.625" style="225" customWidth="1"/>
    <col min="6424" max="6425" width="15.625" style="225" customWidth="1"/>
    <col min="6426" max="6426" width="30.625" style="225" customWidth="1"/>
    <col min="6427" max="6427" width="3.625" style="225" customWidth="1"/>
    <col min="6428" max="6428" width="0" style="225" hidden="1" customWidth="1"/>
    <col min="6429" max="6454" width="3.625" style="225" customWidth="1"/>
    <col min="6455" max="6653" width="8.875" style="225"/>
    <col min="6654" max="6654" width="2.625" style="225" customWidth="1"/>
    <col min="6655" max="6655" width="8.625" style="225" customWidth="1"/>
    <col min="6656" max="6656" width="30.625" style="225" customWidth="1"/>
    <col min="6657" max="6657" width="15.625" style="225" customWidth="1"/>
    <col min="6658" max="6658" width="4.625" style="225" customWidth="1"/>
    <col min="6659" max="6660" width="6.625" style="225" customWidth="1"/>
    <col min="6661" max="6662" width="7.625" style="225" customWidth="1"/>
    <col min="6663" max="6663" width="3.625" style="225" customWidth="1"/>
    <col min="6664" max="6664" width="5.625" style="225" customWidth="1"/>
    <col min="6665" max="6666" width="6.625" style="225" customWidth="1"/>
    <col min="6667" max="6668" width="7.625" style="225" customWidth="1"/>
    <col min="6669" max="6670" width="6.625" style="225" customWidth="1"/>
    <col min="6671" max="6673" width="7.625" style="225" customWidth="1"/>
    <col min="6674" max="6674" width="8.625" style="225" customWidth="1"/>
    <col min="6675" max="6675" width="4.5" style="225" bestFit="1" customWidth="1"/>
    <col min="6676" max="6677" width="6.625" style="225" customWidth="1"/>
    <col min="6678" max="6679" width="7.625" style="225" customWidth="1"/>
    <col min="6680" max="6681" width="15.625" style="225" customWidth="1"/>
    <col min="6682" max="6682" width="30.625" style="225" customWidth="1"/>
    <col min="6683" max="6683" width="3.625" style="225" customWidth="1"/>
    <col min="6684" max="6684" width="0" style="225" hidden="1" customWidth="1"/>
    <col min="6685" max="6710" width="3.625" style="225" customWidth="1"/>
    <col min="6711" max="6909" width="8.875" style="225"/>
    <col min="6910" max="6910" width="2.625" style="225" customWidth="1"/>
    <col min="6911" max="6911" width="8.625" style="225" customWidth="1"/>
    <col min="6912" max="6912" width="30.625" style="225" customWidth="1"/>
    <col min="6913" max="6913" width="15.625" style="225" customWidth="1"/>
    <col min="6914" max="6914" width="4.625" style="225" customWidth="1"/>
    <col min="6915" max="6916" width="6.625" style="225" customWidth="1"/>
    <col min="6917" max="6918" width="7.625" style="225" customWidth="1"/>
    <col min="6919" max="6919" width="3.625" style="225" customWidth="1"/>
    <col min="6920" max="6920" width="5.625" style="225" customWidth="1"/>
    <col min="6921" max="6922" width="6.625" style="225" customWidth="1"/>
    <col min="6923" max="6924" width="7.625" style="225" customWidth="1"/>
    <col min="6925" max="6926" width="6.625" style="225" customWidth="1"/>
    <col min="6927" max="6929" width="7.625" style="225" customWidth="1"/>
    <col min="6930" max="6930" width="8.625" style="225" customWidth="1"/>
    <col min="6931" max="6931" width="4.5" style="225" bestFit="1" customWidth="1"/>
    <col min="6932" max="6933" width="6.625" style="225" customWidth="1"/>
    <col min="6934" max="6935" width="7.625" style="225" customWidth="1"/>
    <col min="6936" max="6937" width="15.625" style="225" customWidth="1"/>
    <col min="6938" max="6938" width="30.625" style="225" customWidth="1"/>
    <col min="6939" max="6939" width="3.625" style="225" customWidth="1"/>
    <col min="6940" max="6940" width="0" style="225" hidden="1" customWidth="1"/>
    <col min="6941" max="6966" width="3.625" style="225" customWidth="1"/>
    <col min="6967" max="7165" width="8.875" style="225"/>
    <col min="7166" max="7166" width="2.625" style="225" customWidth="1"/>
    <col min="7167" max="7167" width="8.625" style="225" customWidth="1"/>
    <col min="7168" max="7168" width="30.625" style="225" customWidth="1"/>
    <col min="7169" max="7169" width="15.625" style="225" customWidth="1"/>
    <col min="7170" max="7170" width="4.625" style="225" customWidth="1"/>
    <col min="7171" max="7172" width="6.625" style="225" customWidth="1"/>
    <col min="7173" max="7174" width="7.625" style="225" customWidth="1"/>
    <col min="7175" max="7175" width="3.625" style="225" customWidth="1"/>
    <col min="7176" max="7176" width="5.625" style="225" customWidth="1"/>
    <col min="7177" max="7178" width="6.625" style="225" customWidth="1"/>
    <col min="7179" max="7180" width="7.625" style="225" customWidth="1"/>
    <col min="7181" max="7182" width="6.625" style="225" customWidth="1"/>
    <col min="7183" max="7185" width="7.625" style="225" customWidth="1"/>
    <col min="7186" max="7186" width="8.625" style="225" customWidth="1"/>
    <col min="7187" max="7187" width="4.5" style="225" bestFit="1" customWidth="1"/>
    <col min="7188" max="7189" width="6.625" style="225" customWidth="1"/>
    <col min="7190" max="7191" width="7.625" style="225" customWidth="1"/>
    <col min="7192" max="7193" width="15.625" style="225" customWidth="1"/>
    <col min="7194" max="7194" width="30.625" style="225" customWidth="1"/>
    <col min="7195" max="7195" width="3.625" style="225" customWidth="1"/>
    <col min="7196" max="7196" width="0" style="225" hidden="1" customWidth="1"/>
    <col min="7197" max="7222" width="3.625" style="225" customWidth="1"/>
    <col min="7223" max="7421" width="8.875" style="225"/>
    <col min="7422" max="7422" width="2.625" style="225" customWidth="1"/>
    <col min="7423" max="7423" width="8.625" style="225" customWidth="1"/>
    <col min="7424" max="7424" width="30.625" style="225" customWidth="1"/>
    <col min="7425" max="7425" width="15.625" style="225" customWidth="1"/>
    <col min="7426" max="7426" width="4.625" style="225" customWidth="1"/>
    <col min="7427" max="7428" width="6.625" style="225" customWidth="1"/>
    <col min="7429" max="7430" width="7.625" style="225" customWidth="1"/>
    <col min="7431" max="7431" width="3.625" style="225" customWidth="1"/>
    <col min="7432" max="7432" width="5.625" style="225" customWidth="1"/>
    <col min="7433" max="7434" width="6.625" style="225" customWidth="1"/>
    <col min="7435" max="7436" width="7.625" style="225" customWidth="1"/>
    <col min="7437" max="7438" width="6.625" style="225" customWidth="1"/>
    <col min="7439" max="7441" width="7.625" style="225" customWidth="1"/>
    <col min="7442" max="7442" width="8.625" style="225" customWidth="1"/>
    <col min="7443" max="7443" width="4.5" style="225" bestFit="1" customWidth="1"/>
    <col min="7444" max="7445" width="6.625" style="225" customWidth="1"/>
    <col min="7446" max="7447" width="7.625" style="225" customWidth="1"/>
    <col min="7448" max="7449" width="15.625" style="225" customWidth="1"/>
    <col min="7450" max="7450" width="30.625" style="225" customWidth="1"/>
    <col min="7451" max="7451" width="3.625" style="225" customWidth="1"/>
    <col min="7452" max="7452" width="0" style="225" hidden="1" customWidth="1"/>
    <col min="7453" max="7478" width="3.625" style="225" customWidth="1"/>
    <col min="7479" max="7677" width="8.875" style="225"/>
    <col min="7678" max="7678" width="2.625" style="225" customWidth="1"/>
    <col min="7679" max="7679" width="8.625" style="225" customWidth="1"/>
    <col min="7680" max="7680" width="30.625" style="225" customWidth="1"/>
    <col min="7681" max="7681" width="15.625" style="225" customWidth="1"/>
    <col min="7682" max="7682" width="4.625" style="225" customWidth="1"/>
    <col min="7683" max="7684" width="6.625" style="225" customWidth="1"/>
    <col min="7685" max="7686" width="7.625" style="225" customWidth="1"/>
    <col min="7687" max="7687" width="3.625" style="225" customWidth="1"/>
    <col min="7688" max="7688" width="5.625" style="225" customWidth="1"/>
    <col min="7689" max="7690" width="6.625" style="225" customWidth="1"/>
    <col min="7691" max="7692" width="7.625" style="225" customWidth="1"/>
    <col min="7693" max="7694" width="6.625" style="225" customWidth="1"/>
    <col min="7695" max="7697" width="7.625" style="225" customWidth="1"/>
    <col min="7698" max="7698" width="8.625" style="225" customWidth="1"/>
    <col min="7699" max="7699" width="4.5" style="225" bestFit="1" customWidth="1"/>
    <col min="7700" max="7701" width="6.625" style="225" customWidth="1"/>
    <col min="7702" max="7703" width="7.625" style="225" customWidth="1"/>
    <col min="7704" max="7705" width="15.625" style="225" customWidth="1"/>
    <col min="7706" max="7706" width="30.625" style="225" customWidth="1"/>
    <col min="7707" max="7707" width="3.625" style="225" customWidth="1"/>
    <col min="7708" max="7708" width="0" style="225" hidden="1" customWidth="1"/>
    <col min="7709" max="7734" width="3.625" style="225" customWidth="1"/>
    <col min="7735" max="7933" width="8.875" style="225"/>
    <col min="7934" max="7934" width="2.625" style="225" customWidth="1"/>
    <col min="7935" max="7935" width="8.625" style="225" customWidth="1"/>
    <col min="7936" max="7936" width="30.625" style="225" customWidth="1"/>
    <col min="7937" max="7937" width="15.625" style="225" customWidth="1"/>
    <col min="7938" max="7938" width="4.625" style="225" customWidth="1"/>
    <col min="7939" max="7940" width="6.625" style="225" customWidth="1"/>
    <col min="7941" max="7942" width="7.625" style="225" customWidth="1"/>
    <col min="7943" max="7943" width="3.625" style="225" customWidth="1"/>
    <col min="7944" max="7944" width="5.625" style="225" customWidth="1"/>
    <col min="7945" max="7946" width="6.625" style="225" customWidth="1"/>
    <col min="7947" max="7948" width="7.625" style="225" customWidth="1"/>
    <col min="7949" max="7950" width="6.625" style="225" customWidth="1"/>
    <col min="7951" max="7953" width="7.625" style="225" customWidth="1"/>
    <col min="7954" max="7954" width="8.625" style="225" customWidth="1"/>
    <col min="7955" max="7955" width="4.5" style="225" bestFit="1" customWidth="1"/>
    <col min="7956" max="7957" width="6.625" style="225" customWidth="1"/>
    <col min="7958" max="7959" width="7.625" style="225" customWidth="1"/>
    <col min="7960" max="7961" width="15.625" style="225" customWidth="1"/>
    <col min="7962" max="7962" width="30.625" style="225" customWidth="1"/>
    <col min="7963" max="7963" width="3.625" style="225" customWidth="1"/>
    <col min="7964" max="7964" width="0" style="225" hidden="1" customWidth="1"/>
    <col min="7965" max="7990" width="3.625" style="225" customWidth="1"/>
    <col min="7991" max="8189" width="8.875" style="225"/>
    <col min="8190" max="8190" width="2.625" style="225" customWidth="1"/>
    <col min="8191" max="8191" width="8.625" style="225" customWidth="1"/>
    <col min="8192" max="8192" width="30.625" style="225" customWidth="1"/>
    <col min="8193" max="8193" width="15.625" style="225" customWidth="1"/>
    <col min="8194" max="8194" width="4.625" style="225" customWidth="1"/>
    <col min="8195" max="8196" width="6.625" style="225" customWidth="1"/>
    <col min="8197" max="8198" width="7.625" style="225" customWidth="1"/>
    <col min="8199" max="8199" width="3.625" style="225" customWidth="1"/>
    <col min="8200" max="8200" width="5.625" style="225" customWidth="1"/>
    <col min="8201" max="8202" width="6.625" style="225" customWidth="1"/>
    <col min="8203" max="8204" width="7.625" style="225" customWidth="1"/>
    <col min="8205" max="8206" width="6.625" style="225" customWidth="1"/>
    <col min="8207" max="8209" width="7.625" style="225" customWidth="1"/>
    <col min="8210" max="8210" width="8.625" style="225" customWidth="1"/>
    <col min="8211" max="8211" width="4.5" style="225" bestFit="1" customWidth="1"/>
    <col min="8212" max="8213" width="6.625" style="225" customWidth="1"/>
    <col min="8214" max="8215" width="7.625" style="225" customWidth="1"/>
    <col min="8216" max="8217" width="15.625" style="225" customWidth="1"/>
    <col min="8218" max="8218" width="30.625" style="225" customWidth="1"/>
    <col min="8219" max="8219" width="3.625" style="225" customWidth="1"/>
    <col min="8220" max="8220" width="0" style="225" hidden="1" customWidth="1"/>
    <col min="8221" max="8246" width="3.625" style="225" customWidth="1"/>
    <col min="8247" max="8445" width="8.875" style="225"/>
    <col min="8446" max="8446" width="2.625" style="225" customWidth="1"/>
    <col min="8447" max="8447" width="8.625" style="225" customWidth="1"/>
    <col min="8448" max="8448" width="30.625" style="225" customWidth="1"/>
    <col min="8449" max="8449" width="15.625" style="225" customWidth="1"/>
    <col min="8450" max="8450" width="4.625" style="225" customWidth="1"/>
    <col min="8451" max="8452" width="6.625" style="225" customWidth="1"/>
    <col min="8453" max="8454" width="7.625" style="225" customWidth="1"/>
    <col min="8455" max="8455" width="3.625" style="225" customWidth="1"/>
    <col min="8456" max="8456" width="5.625" style="225" customWidth="1"/>
    <col min="8457" max="8458" width="6.625" style="225" customWidth="1"/>
    <col min="8459" max="8460" width="7.625" style="225" customWidth="1"/>
    <col min="8461" max="8462" width="6.625" style="225" customWidth="1"/>
    <col min="8463" max="8465" width="7.625" style="225" customWidth="1"/>
    <col min="8466" max="8466" width="8.625" style="225" customWidth="1"/>
    <col min="8467" max="8467" width="4.5" style="225" bestFit="1" customWidth="1"/>
    <col min="8468" max="8469" width="6.625" style="225" customWidth="1"/>
    <col min="8470" max="8471" width="7.625" style="225" customWidth="1"/>
    <col min="8472" max="8473" width="15.625" style="225" customWidth="1"/>
    <col min="8474" max="8474" width="30.625" style="225" customWidth="1"/>
    <col min="8475" max="8475" width="3.625" style="225" customWidth="1"/>
    <col min="8476" max="8476" width="0" style="225" hidden="1" customWidth="1"/>
    <col min="8477" max="8502" width="3.625" style="225" customWidth="1"/>
    <col min="8503" max="8701" width="8.875" style="225"/>
    <col min="8702" max="8702" width="2.625" style="225" customWidth="1"/>
    <col min="8703" max="8703" width="8.625" style="225" customWidth="1"/>
    <col min="8704" max="8704" width="30.625" style="225" customWidth="1"/>
    <col min="8705" max="8705" width="15.625" style="225" customWidth="1"/>
    <col min="8706" max="8706" width="4.625" style="225" customWidth="1"/>
    <col min="8707" max="8708" width="6.625" style="225" customWidth="1"/>
    <col min="8709" max="8710" width="7.625" style="225" customWidth="1"/>
    <col min="8711" max="8711" width="3.625" style="225" customWidth="1"/>
    <col min="8712" max="8712" width="5.625" style="225" customWidth="1"/>
    <col min="8713" max="8714" width="6.625" style="225" customWidth="1"/>
    <col min="8715" max="8716" width="7.625" style="225" customWidth="1"/>
    <col min="8717" max="8718" width="6.625" style="225" customWidth="1"/>
    <col min="8719" max="8721" width="7.625" style="225" customWidth="1"/>
    <col min="8722" max="8722" width="8.625" style="225" customWidth="1"/>
    <col min="8723" max="8723" width="4.5" style="225" bestFit="1" customWidth="1"/>
    <col min="8724" max="8725" width="6.625" style="225" customWidth="1"/>
    <col min="8726" max="8727" width="7.625" style="225" customWidth="1"/>
    <col min="8728" max="8729" width="15.625" style="225" customWidth="1"/>
    <col min="8730" max="8730" width="30.625" style="225" customWidth="1"/>
    <col min="8731" max="8731" width="3.625" style="225" customWidth="1"/>
    <col min="8732" max="8732" width="0" style="225" hidden="1" customWidth="1"/>
    <col min="8733" max="8758" width="3.625" style="225" customWidth="1"/>
    <col min="8759" max="8957" width="8.875" style="225"/>
    <col min="8958" max="8958" width="2.625" style="225" customWidth="1"/>
    <col min="8959" max="8959" width="8.625" style="225" customWidth="1"/>
    <col min="8960" max="8960" width="30.625" style="225" customWidth="1"/>
    <col min="8961" max="8961" width="15.625" style="225" customWidth="1"/>
    <col min="8962" max="8962" width="4.625" style="225" customWidth="1"/>
    <col min="8963" max="8964" width="6.625" style="225" customWidth="1"/>
    <col min="8965" max="8966" width="7.625" style="225" customWidth="1"/>
    <col min="8967" max="8967" width="3.625" style="225" customWidth="1"/>
    <col min="8968" max="8968" width="5.625" style="225" customWidth="1"/>
    <col min="8969" max="8970" width="6.625" style="225" customWidth="1"/>
    <col min="8971" max="8972" width="7.625" style="225" customWidth="1"/>
    <col min="8973" max="8974" width="6.625" style="225" customWidth="1"/>
    <col min="8975" max="8977" width="7.625" style="225" customWidth="1"/>
    <col min="8978" max="8978" width="8.625" style="225" customWidth="1"/>
    <col min="8979" max="8979" width="4.5" style="225" bestFit="1" customWidth="1"/>
    <col min="8980" max="8981" width="6.625" style="225" customWidth="1"/>
    <col min="8982" max="8983" width="7.625" style="225" customWidth="1"/>
    <col min="8984" max="8985" width="15.625" style="225" customWidth="1"/>
    <col min="8986" max="8986" width="30.625" style="225" customWidth="1"/>
    <col min="8987" max="8987" width="3.625" style="225" customWidth="1"/>
    <col min="8988" max="8988" width="0" style="225" hidden="1" customWidth="1"/>
    <col min="8989" max="9014" width="3.625" style="225" customWidth="1"/>
    <col min="9015" max="9213" width="8.875" style="225"/>
    <col min="9214" max="9214" width="2.625" style="225" customWidth="1"/>
    <col min="9215" max="9215" width="8.625" style="225" customWidth="1"/>
    <col min="9216" max="9216" width="30.625" style="225" customWidth="1"/>
    <col min="9217" max="9217" width="15.625" style="225" customWidth="1"/>
    <col min="9218" max="9218" width="4.625" style="225" customWidth="1"/>
    <col min="9219" max="9220" width="6.625" style="225" customWidth="1"/>
    <col min="9221" max="9222" width="7.625" style="225" customWidth="1"/>
    <col min="9223" max="9223" width="3.625" style="225" customWidth="1"/>
    <col min="9224" max="9224" width="5.625" style="225" customWidth="1"/>
    <col min="9225" max="9226" width="6.625" style="225" customWidth="1"/>
    <col min="9227" max="9228" width="7.625" style="225" customWidth="1"/>
    <col min="9229" max="9230" width="6.625" style="225" customWidth="1"/>
    <col min="9231" max="9233" width="7.625" style="225" customWidth="1"/>
    <col min="9234" max="9234" width="8.625" style="225" customWidth="1"/>
    <col min="9235" max="9235" width="4.5" style="225" bestFit="1" customWidth="1"/>
    <col min="9236" max="9237" width="6.625" style="225" customWidth="1"/>
    <col min="9238" max="9239" width="7.625" style="225" customWidth="1"/>
    <col min="9240" max="9241" width="15.625" style="225" customWidth="1"/>
    <col min="9242" max="9242" width="30.625" style="225" customWidth="1"/>
    <col min="9243" max="9243" width="3.625" style="225" customWidth="1"/>
    <col min="9244" max="9244" width="0" style="225" hidden="1" customWidth="1"/>
    <col min="9245" max="9270" width="3.625" style="225" customWidth="1"/>
    <col min="9271" max="9469" width="8.875" style="225"/>
    <col min="9470" max="9470" width="2.625" style="225" customWidth="1"/>
    <col min="9471" max="9471" width="8.625" style="225" customWidth="1"/>
    <col min="9472" max="9472" width="30.625" style="225" customWidth="1"/>
    <col min="9473" max="9473" width="15.625" style="225" customWidth="1"/>
    <col min="9474" max="9474" width="4.625" style="225" customWidth="1"/>
    <col min="9475" max="9476" width="6.625" style="225" customWidth="1"/>
    <col min="9477" max="9478" width="7.625" style="225" customWidth="1"/>
    <col min="9479" max="9479" width="3.625" style="225" customWidth="1"/>
    <col min="9480" max="9480" width="5.625" style="225" customWidth="1"/>
    <col min="9481" max="9482" width="6.625" style="225" customWidth="1"/>
    <col min="9483" max="9484" width="7.625" style="225" customWidth="1"/>
    <col min="9485" max="9486" width="6.625" style="225" customWidth="1"/>
    <col min="9487" max="9489" width="7.625" style="225" customWidth="1"/>
    <col min="9490" max="9490" width="8.625" style="225" customWidth="1"/>
    <col min="9491" max="9491" width="4.5" style="225" bestFit="1" customWidth="1"/>
    <col min="9492" max="9493" width="6.625" style="225" customWidth="1"/>
    <col min="9494" max="9495" width="7.625" style="225" customWidth="1"/>
    <col min="9496" max="9497" width="15.625" style="225" customWidth="1"/>
    <col min="9498" max="9498" width="30.625" style="225" customWidth="1"/>
    <col min="9499" max="9499" width="3.625" style="225" customWidth="1"/>
    <col min="9500" max="9500" width="0" style="225" hidden="1" customWidth="1"/>
    <col min="9501" max="9526" width="3.625" style="225" customWidth="1"/>
    <col min="9527" max="9725" width="8.875" style="225"/>
    <col min="9726" max="9726" width="2.625" style="225" customWidth="1"/>
    <col min="9727" max="9727" width="8.625" style="225" customWidth="1"/>
    <col min="9728" max="9728" width="30.625" style="225" customWidth="1"/>
    <col min="9729" max="9729" width="15.625" style="225" customWidth="1"/>
    <col min="9730" max="9730" width="4.625" style="225" customWidth="1"/>
    <col min="9731" max="9732" width="6.625" style="225" customWidth="1"/>
    <col min="9733" max="9734" width="7.625" style="225" customWidth="1"/>
    <col min="9735" max="9735" width="3.625" style="225" customWidth="1"/>
    <col min="9736" max="9736" width="5.625" style="225" customWidth="1"/>
    <col min="9737" max="9738" width="6.625" style="225" customWidth="1"/>
    <col min="9739" max="9740" width="7.625" style="225" customWidth="1"/>
    <col min="9741" max="9742" width="6.625" style="225" customWidth="1"/>
    <col min="9743" max="9745" width="7.625" style="225" customWidth="1"/>
    <col min="9746" max="9746" width="8.625" style="225" customWidth="1"/>
    <col min="9747" max="9747" width="4.5" style="225" bestFit="1" customWidth="1"/>
    <col min="9748" max="9749" width="6.625" style="225" customWidth="1"/>
    <col min="9750" max="9751" width="7.625" style="225" customWidth="1"/>
    <col min="9752" max="9753" width="15.625" style="225" customWidth="1"/>
    <col min="9754" max="9754" width="30.625" style="225" customWidth="1"/>
    <col min="9755" max="9755" width="3.625" style="225" customWidth="1"/>
    <col min="9756" max="9756" width="0" style="225" hidden="1" customWidth="1"/>
    <col min="9757" max="9782" width="3.625" style="225" customWidth="1"/>
    <col min="9783" max="9981" width="8.875" style="225"/>
    <col min="9982" max="9982" width="2.625" style="225" customWidth="1"/>
    <col min="9983" max="9983" width="8.625" style="225" customWidth="1"/>
    <col min="9984" max="9984" width="30.625" style="225" customWidth="1"/>
    <col min="9985" max="9985" width="15.625" style="225" customWidth="1"/>
    <col min="9986" max="9986" width="4.625" style="225" customWidth="1"/>
    <col min="9987" max="9988" width="6.625" style="225" customWidth="1"/>
    <col min="9989" max="9990" width="7.625" style="225" customWidth="1"/>
    <col min="9991" max="9991" width="3.625" style="225" customWidth="1"/>
    <col min="9992" max="9992" width="5.625" style="225" customWidth="1"/>
    <col min="9993" max="9994" width="6.625" style="225" customWidth="1"/>
    <col min="9995" max="9996" width="7.625" style="225" customWidth="1"/>
    <col min="9997" max="9998" width="6.625" style="225" customWidth="1"/>
    <col min="9999" max="10001" width="7.625" style="225" customWidth="1"/>
    <col min="10002" max="10002" width="8.625" style="225" customWidth="1"/>
    <col min="10003" max="10003" width="4.5" style="225" bestFit="1" customWidth="1"/>
    <col min="10004" max="10005" width="6.625" style="225" customWidth="1"/>
    <col min="10006" max="10007" width="7.625" style="225" customWidth="1"/>
    <col min="10008" max="10009" width="15.625" style="225" customWidth="1"/>
    <col min="10010" max="10010" width="30.625" style="225" customWidth="1"/>
    <col min="10011" max="10011" width="3.625" style="225" customWidth="1"/>
    <col min="10012" max="10012" width="0" style="225" hidden="1" customWidth="1"/>
    <col min="10013" max="10038" width="3.625" style="225" customWidth="1"/>
    <col min="10039" max="10237" width="8.875" style="225"/>
    <col min="10238" max="10238" width="2.625" style="225" customWidth="1"/>
    <col min="10239" max="10239" width="8.625" style="225" customWidth="1"/>
    <col min="10240" max="10240" width="30.625" style="225" customWidth="1"/>
    <col min="10241" max="10241" width="15.625" style="225" customWidth="1"/>
    <col min="10242" max="10242" width="4.625" style="225" customWidth="1"/>
    <col min="10243" max="10244" width="6.625" style="225" customWidth="1"/>
    <col min="10245" max="10246" width="7.625" style="225" customWidth="1"/>
    <col min="10247" max="10247" width="3.625" style="225" customWidth="1"/>
    <col min="10248" max="10248" width="5.625" style="225" customWidth="1"/>
    <col min="10249" max="10250" width="6.625" style="225" customWidth="1"/>
    <col min="10251" max="10252" width="7.625" style="225" customWidth="1"/>
    <col min="10253" max="10254" width="6.625" style="225" customWidth="1"/>
    <col min="10255" max="10257" width="7.625" style="225" customWidth="1"/>
    <col min="10258" max="10258" width="8.625" style="225" customWidth="1"/>
    <col min="10259" max="10259" width="4.5" style="225" bestFit="1" customWidth="1"/>
    <col min="10260" max="10261" width="6.625" style="225" customWidth="1"/>
    <col min="10262" max="10263" width="7.625" style="225" customWidth="1"/>
    <col min="10264" max="10265" width="15.625" style="225" customWidth="1"/>
    <col min="10266" max="10266" width="30.625" style="225" customWidth="1"/>
    <col min="10267" max="10267" width="3.625" style="225" customWidth="1"/>
    <col min="10268" max="10268" width="0" style="225" hidden="1" customWidth="1"/>
    <col min="10269" max="10294" width="3.625" style="225" customWidth="1"/>
    <col min="10295" max="10493" width="8.875" style="225"/>
    <col min="10494" max="10494" width="2.625" style="225" customWidth="1"/>
    <col min="10495" max="10495" width="8.625" style="225" customWidth="1"/>
    <col min="10496" max="10496" width="30.625" style="225" customWidth="1"/>
    <col min="10497" max="10497" width="15.625" style="225" customWidth="1"/>
    <col min="10498" max="10498" width="4.625" style="225" customWidth="1"/>
    <col min="10499" max="10500" width="6.625" style="225" customWidth="1"/>
    <col min="10501" max="10502" width="7.625" style="225" customWidth="1"/>
    <col min="10503" max="10503" width="3.625" style="225" customWidth="1"/>
    <col min="10504" max="10504" width="5.625" style="225" customWidth="1"/>
    <col min="10505" max="10506" width="6.625" style="225" customWidth="1"/>
    <col min="10507" max="10508" width="7.625" style="225" customWidth="1"/>
    <col min="10509" max="10510" width="6.625" style="225" customWidth="1"/>
    <col min="10511" max="10513" width="7.625" style="225" customWidth="1"/>
    <col min="10514" max="10514" width="8.625" style="225" customWidth="1"/>
    <col min="10515" max="10515" width="4.5" style="225" bestFit="1" customWidth="1"/>
    <col min="10516" max="10517" width="6.625" style="225" customWidth="1"/>
    <col min="10518" max="10519" width="7.625" style="225" customWidth="1"/>
    <col min="10520" max="10521" width="15.625" style="225" customWidth="1"/>
    <col min="10522" max="10522" width="30.625" style="225" customWidth="1"/>
    <col min="10523" max="10523" width="3.625" style="225" customWidth="1"/>
    <col min="10524" max="10524" width="0" style="225" hidden="1" customWidth="1"/>
    <col min="10525" max="10550" width="3.625" style="225" customWidth="1"/>
    <col min="10551" max="10749" width="8.875" style="225"/>
    <col min="10750" max="10750" width="2.625" style="225" customWidth="1"/>
    <col min="10751" max="10751" width="8.625" style="225" customWidth="1"/>
    <col min="10752" max="10752" width="30.625" style="225" customWidth="1"/>
    <col min="10753" max="10753" width="15.625" style="225" customWidth="1"/>
    <col min="10754" max="10754" width="4.625" style="225" customWidth="1"/>
    <col min="10755" max="10756" width="6.625" style="225" customWidth="1"/>
    <col min="10757" max="10758" width="7.625" style="225" customWidth="1"/>
    <col min="10759" max="10759" width="3.625" style="225" customWidth="1"/>
    <col min="10760" max="10760" width="5.625" style="225" customWidth="1"/>
    <col min="10761" max="10762" width="6.625" style="225" customWidth="1"/>
    <col min="10763" max="10764" width="7.625" style="225" customWidth="1"/>
    <col min="10765" max="10766" width="6.625" style="225" customWidth="1"/>
    <col min="10767" max="10769" width="7.625" style="225" customWidth="1"/>
    <col min="10770" max="10770" width="8.625" style="225" customWidth="1"/>
    <col min="10771" max="10771" width="4.5" style="225" bestFit="1" customWidth="1"/>
    <col min="10772" max="10773" width="6.625" style="225" customWidth="1"/>
    <col min="10774" max="10775" width="7.625" style="225" customWidth="1"/>
    <col min="10776" max="10777" width="15.625" style="225" customWidth="1"/>
    <col min="10778" max="10778" width="30.625" style="225" customWidth="1"/>
    <col min="10779" max="10779" width="3.625" style="225" customWidth="1"/>
    <col min="10780" max="10780" width="0" style="225" hidden="1" customWidth="1"/>
    <col min="10781" max="10806" width="3.625" style="225" customWidth="1"/>
    <col min="10807" max="11005" width="8.875" style="225"/>
    <col min="11006" max="11006" width="2.625" style="225" customWidth="1"/>
    <col min="11007" max="11007" width="8.625" style="225" customWidth="1"/>
    <col min="11008" max="11008" width="30.625" style="225" customWidth="1"/>
    <col min="11009" max="11009" width="15.625" style="225" customWidth="1"/>
    <col min="11010" max="11010" width="4.625" style="225" customWidth="1"/>
    <col min="11011" max="11012" width="6.625" style="225" customWidth="1"/>
    <col min="11013" max="11014" width="7.625" style="225" customWidth="1"/>
    <col min="11015" max="11015" width="3.625" style="225" customWidth="1"/>
    <col min="11016" max="11016" width="5.625" style="225" customWidth="1"/>
    <col min="11017" max="11018" width="6.625" style="225" customWidth="1"/>
    <col min="11019" max="11020" width="7.625" style="225" customWidth="1"/>
    <col min="11021" max="11022" width="6.625" style="225" customWidth="1"/>
    <col min="11023" max="11025" width="7.625" style="225" customWidth="1"/>
    <col min="11026" max="11026" width="8.625" style="225" customWidth="1"/>
    <col min="11027" max="11027" width="4.5" style="225" bestFit="1" customWidth="1"/>
    <col min="11028" max="11029" width="6.625" style="225" customWidth="1"/>
    <col min="11030" max="11031" width="7.625" style="225" customWidth="1"/>
    <col min="11032" max="11033" width="15.625" style="225" customWidth="1"/>
    <col min="11034" max="11034" width="30.625" style="225" customWidth="1"/>
    <col min="11035" max="11035" width="3.625" style="225" customWidth="1"/>
    <col min="11036" max="11036" width="0" style="225" hidden="1" customWidth="1"/>
    <col min="11037" max="11062" width="3.625" style="225" customWidth="1"/>
    <col min="11063" max="11261" width="8.875" style="225"/>
    <col min="11262" max="11262" width="2.625" style="225" customWidth="1"/>
    <col min="11263" max="11263" width="8.625" style="225" customWidth="1"/>
    <col min="11264" max="11264" width="30.625" style="225" customWidth="1"/>
    <col min="11265" max="11265" width="15.625" style="225" customWidth="1"/>
    <col min="11266" max="11266" width="4.625" style="225" customWidth="1"/>
    <col min="11267" max="11268" width="6.625" style="225" customWidth="1"/>
    <col min="11269" max="11270" width="7.625" style="225" customWidth="1"/>
    <col min="11271" max="11271" width="3.625" style="225" customWidth="1"/>
    <col min="11272" max="11272" width="5.625" style="225" customWidth="1"/>
    <col min="11273" max="11274" width="6.625" style="225" customWidth="1"/>
    <col min="11275" max="11276" width="7.625" style="225" customWidth="1"/>
    <col min="11277" max="11278" width="6.625" style="225" customWidth="1"/>
    <col min="11279" max="11281" width="7.625" style="225" customWidth="1"/>
    <col min="11282" max="11282" width="8.625" style="225" customWidth="1"/>
    <col min="11283" max="11283" width="4.5" style="225" bestFit="1" customWidth="1"/>
    <col min="11284" max="11285" width="6.625" style="225" customWidth="1"/>
    <col min="11286" max="11287" width="7.625" style="225" customWidth="1"/>
    <col min="11288" max="11289" width="15.625" style="225" customWidth="1"/>
    <col min="11290" max="11290" width="30.625" style="225" customWidth="1"/>
    <col min="11291" max="11291" width="3.625" style="225" customWidth="1"/>
    <col min="11292" max="11292" width="0" style="225" hidden="1" customWidth="1"/>
    <col min="11293" max="11318" width="3.625" style="225" customWidth="1"/>
    <col min="11319" max="11517" width="8.875" style="225"/>
    <col min="11518" max="11518" width="2.625" style="225" customWidth="1"/>
    <col min="11519" max="11519" width="8.625" style="225" customWidth="1"/>
    <col min="11520" max="11520" width="30.625" style="225" customWidth="1"/>
    <col min="11521" max="11521" width="15.625" style="225" customWidth="1"/>
    <col min="11522" max="11522" width="4.625" style="225" customWidth="1"/>
    <col min="11523" max="11524" width="6.625" style="225" customWidth="1"/>
    <col min="11525" max="11526" width="7.625" style="225" customWidth="1"/>
    <col min="11527" max="11527" width="3.625" style="225" customWidth="1"/>
    <col min="11528" max="11528" width="5.625" style="225" customWidth="1"/>
    <col min="11529" max="11530" width="6.625" style="225" customWidth="1"/>
    <col min="11531" max="11532" width="7.625" style="225" customWidth="1"/>
    <col min="11533" max="11534" width="6.625" style="225" customWidth="1"/>
    <col min="11535" max="11537" width="7.625" style="225" customWidth="1"/>
    <col min="11538" max="11538" width="8.625" style="225" customWidth="1"/>
    <col min="11539" max="11539" width="4.5" style="225" bestFit="1" customWidth="1"/>
    <col min="11540" max="11541" width="6.625" style="225" customWidth="1"/>
    <col min="11542" max="11543" width="7.625" style="225" customWidth="1"/>
    <col min="11544" max="11545" width="15.625" style="225" customWidth="1"/>
    <col min="11546" max="11546" width="30.625" style="225" customWidth="1"/>
    <col min="11547" max="11547" width="3.625" style="225" customWidth="1"/>
    <col min="11548" max="11548" width="0" style="225" hidden="1" customWidth="1"/>
    <col min="11549" max="11574" width="3.625" style="225" customWidth="1"/>
    <col min="11575" max="11773" width="8.875" style="225"/>
    <col min="11774" max="11774" width="2.625" style="225" customWidth="1"/>
    <col min="11775" max="11775" width="8.625" style="225" customWidth="1"/>
    <col min="11776" max="11776" width="30.625" style="225" customWidth="1"/>
    <col min="11777" max="11777" width="15.625" style="225" customWidth="1"/>
    <col min="11778" max="11778" width="4.625" style="225" customWidth="1"/>
    <col min="11779" max="11780" width="6.625" style="225" customWidth="1"/>
    <col min="11781" max="11782" width="7.625" style="225" customWidth="1"/>
    <col min="11783" max="11783" width="3.625" style="225" customWidth="1"/>
    <col min="11784" max="11784" width="5.625" style="225" customWidth="1"/>
    <col min="11785" max="11786" width="6.625" style="225" customWidth="1"/>
    <col min="11787" max="11788" width="7.625" style="225" customWidth="1"/>
    <col min="11789" max="11790" width="6.625" style="225" customWidth="1"/>
    <col min="11791" max="11793" width="7.625" style="225" customWidth="1"/>
    <col min="11794" max="11794" width="8.625" style="225" customWidth="1"/>
    <col min="11795" max="11795" width="4.5" style="225" bestFit="1" customWidth="1"/>
    <col min="11796" max="11797" width="6.625" style="225" customWidth="1"/>
    <col min="11798" max="11799" width="7.625" style="225" customWidth="1"/>
    <col min="11800" max="11801" width="15.625" style="225" customWidth="1"/>
    <col min="11802" max="11802" width="30.625" style="225" customWidth="1"/>
    <col min="11803" max="11803" width="3.625" style="225" customWidth="1"/>
    <col min="11804" max="11804" width="0" style="225" hidden="1" customWidth="1"/>
    <col min="11805" max="11830" width="3.625" style="225" customWidth="1"/>
    <col min="11831" max="12029" width="8.875" style="225"/>
    <col min="12030" max="12030" width="2.625" style="225" customWidth="1"/>
    <col min="12031" max="12031" width="8.625" style="225" customWidth="1"/>
    <col min="12032" max="12032" width="30.625" style="225" customWidth="1"/>
    <col min="12033" max="12033" width="15.625" style="225" customWidth="1"/>
    <col min="12034" max="12034" width="4.625" style="225" customWidth="1"/>
    <col min="12035" max="12036" width="6.625" style="225" customWidth="1"/>
    <col min="12037" max="12038" width="7.625" style="225" customWidth="1"/>
    <col min="12039" max="12039" width="3.625" style="225" customWidth="1"/>
    <col min="12040" max="12040" width="5.625" style="225" customWidth="1"/>
    <col min="12041" max="12042" width="6.625" style="225" customWidth="1"/>
    <col min="12043" max="12044" width="7.625" style="225" customWidth="1"/>
    <col min="12045" max="12046" width="6.625" style="225" customWidth="1"/>
    <col min="12047" max="12049" width="7.625" style="225" customWidth="1"/>
    <col min="12050" max="12050" width="8.625" style="225" customWidth="1"/>
    <col min="12051" max="12051" width="4.5" style="225" bestFit="1" customWidth="1"/>
    <col min="12052" max="12053" width="6.625" style="225" customWidth="1"/>
    <col min="12054" max="12055" width="7.625" style="225" customWidth="1"/>
    <col min="12056" max="12057" width="15.625" style="225" customWidth="1"/>
    <col min="12058" max="12058" width="30.625" style="225" customWidth="1"/>
    <col min="12059" max="12059" width="3.625" style="225" customWidth="1"/>
    <col min="12060" max="12060" width="0" style="225" hidden="1" customWidth="1"/>
    <col min="12061" max="12086" width="3.625" style="225" customWidth="1"/>
    <col min="12087" max="12285" width="8.875" style="225"/>
    <col min="12286" max="12286" width="2.625" style="225" customWidth="1"/>
    <col min="12287" max="12287" width="8.625" style="225" customWidth="1"/>
    <col min="12288" max="12288" width="30.625" style="225" customWidth="1"/>
    <col min="12289" max="12289" width="15.625" style="225" customWidth="1"/>
    <col min="12290" max="12290" width="4.625" style="225" customWidth="1"/>
    <col min="12291" max="12292" width="6.625" style="225" customWidth="1"/>
    <col min="12293" max="12294" width="7.625" style="225" customWidth="1"/>
    <col min="12295" max="12295" width="3.625" style="225" customWidth="1"/>
    <col min="12296" max="12296" width="5.625" style="225" customWidth="1"/>
    <col min="12297" max="12298" width="6.625" style="225" customWidth="1"/>
    <col min="12299" max="12300" width="7.625" style="225" customWidth="1"/>
    <col min="12301" max="12302" width="6.625" style="225" customWidth="1"/>
    <col min="12303" max="12305" width="7.625" style="225" customWidth="1"/>
    <col min="12306" max="12306" width="8.625" style="225" customWidth="1"/>
    <col min="12307" max="12307" width="4.5" style="225" bestFit="1" customWidth="1"/>
    <col min="12308" max="12309" width="6.625" style="225" customWidth="1"/>
    <col min="12310" max="12311" width="7.625" style="225" customWidth="1"/>
    <col min="12312" max="12313" width="15.625" style="225" customWidth="1"/>
    <col min="12314" max="12314" width="30.625" style="225" customWidth="1"/>
    <col min="12315" max="12315" width="3.625" style="225" customWidth="1"/>
    <col min="12316" max="12316" width="0" style="225" hidden="1" customWidth="1"/>
    <col min="12317" max="12342" width="3.625" style="225" customWidth="1"/>
    <col min="12343" max="12541" width="8.875" style="225"/>
    <col min="12542" max="12542" width="2.625" style="225" customWidth="1"/>
    <col min="12543" max="12543" width="8.625" style="225" customWidth="1"/>
    <col min="12544" max="12544" width="30.625" style="225" customWidth="1"/>
    <col min="12545" max="12545" width="15.625" style="225" customWidth="1"/>
    <col min="12546" max="12546" width="4.625" style="225" customWidth="1"/>
    <col min="12547" max="12548" width="6.625" style="225" customWidth="1"/>
    <col min="12549" max="12550" width="7.625" style="225" customWidth="1"/>
    <col min="12551" max="12551" width="3.625" style="225" customWidth="1"/>
    <col min="12552" max="12552" width="5.625" style="225" customWidth="1"/>
    <col min="12553" max="12554" width="6.625" style="225" customWidth="1"/>
    <col min="12555" max="12556" width="7.625" style="225" customWidth="1"/>
    <col min="12557" max="12558" width="6.625" style="225" customWidth="1"/>
    <col min="12559" max="12561" width="7.625" style="225" customWidth="1"/>
    <col min="12562" max="12562" width="8.625" style="225" customWidth="1"/>
    <col min="12563" max="12563" width="4.5" style="225" bestFit="1" customWidth="1"/>
    <col min="12564" max="12565" width="6.625" style="225" customWidth="1"/>
    <col min="12566" max="12567" width="7.625" style="225" customWidth="1"/>
    <col min="12568" max="12569" width="15.625" style="225" customWidth="1"/>
    <col min="12570" max="12570" width="30.625" style="225" customWidth="1"/>
    <col min="12571" max="12571" width="3.625" style="225" customWidth="1"/>
    <col min="12572" max="12572" width="0" style="225" hidden="1" customWidth="1"/>
    <col min="12573" max="12598" width="3.625" style="225" customWidth="1"/>
    <col min="12599" max="12797" width="8.875" style="225"/>
    <col min="12798" max="12798" width="2.625" style="225" customWidth="1"/>
    <col min="12799" max="12799" width="8.625" style="225" customWidth="1"/>
    <col min="12800" max="12800" width="30.625" style="225" customWidth="1"/>
    <col min="12801" max="12801" width="15.625" style="225" customWidth="1"/>
    <col min="12802" max="12802" width="4.625" style="225" customWidth="1"/>
    <col min="12803" max="12804" width="6.625" style="225" customWidth="1"/>
    <col min="12805" max="12806" width="7.625" style="225" customWidth="1"/>
    <col min="12807" max="12807" width="3.625" style="225" customWidth="1"/>
    <col min="12808" max="12808" width="5.625" style="225" customWidth="1"/>
    <col min="12809" max="12810" width="6.625" style="225" customWidth="1"/>
    <col min="12811" max="12812" width="7.625" style="225" customWidth="1"/>
    <col min="12813" max="12814" width="6.625" style="225" customWidth="1"/>
    <col min="12815" max="12817" width="7.625" style="225" customWidth="1"/>
    <col min="12818" max="12818" width="8.625" style="225" customWidth="1"/>
    <col min="12819" max="12819" width="4.5" style="225" bestFit="1" customWidth="1"/>
    <col min="12820" max="12821" width="6.625" style="225" customWidth="1"/>
    <col min="12822" max="12823" width="7.625" style="225" customWidth="1"/>
    <col min="12824" max="12825" width="15.625" style="225" customWidth="1"/>
    <col min="12826" max="12826" width="30.625" style="225" customWidth="1"/>
    <col min="12827" max="12827" width="3.625" style="225" customWidth="1"/>
    <col min="12828" max="12828" width="0" style="225" hidden="1" customWidth="1"/>
    <col min="12829" max="12854" width="3.625" style="225" customWidth="1"/>
    <col min="12855" max="13053" width="8.875" style="225"/>
    <col min="13054" max="13054" width="2.625" style="225" customWidth="1"/>
    <col min="13055" max="13055" width="8.625" style="225" customWidth="1"/>
    <col min="13056" max="13056" width="30.625" style="225" customWidth="1"/>
    <col min="13057" max="13057" width="15.625" style="225" customWidth="1"/>
    <col min="13058" max="13058" width="4.625" style="225" customWidth="1"/>
    <col min="13059" max="13060" width="6.625" style="225" customWidth="1"/>
    <col min="13061" max="13062" width="7.625" style="225" customWidth="1"/>
    <col min="13063" max="13063" width="3.625" style="225" customWidth="1"/>
    <col min="13064" max="13064" width="5.625" style="225" customWidth="1"/>
    <col min="13065" max="13066" width="6.625" style="225" customWidth="1"/>
    <col min="13067" max="13068" width="7.625" style="225" customWidth="1"/>
    <col min="13069" max="13070" width="6.625" style="225" customWidth="1"/>
    <col min="13071" max="13073" width="7.625" style="225" customWidth="1"/>
    <col min="13074" max="13074" width="8.625" style="225" customWidth="1"/>
    <col min="13075" max="13075" width="4.5" style="225" bestFit="1" customWidth="1"/>
    <col min="13076" max="13077" width="6.625" style="225" customWidth="1"/>
    <col min="13078" max="13079" width="7.625" style="225" customWidth="1"/>
    <col min="13080" max="13081" width="15.625" style="225" customWidth="1"/>
    <col min="13082" max="13082" width="30.625" style="225" customWidth="1"/>
    <col min="13083" max="13083" width="3.625" style="225" customWidth="1"/>
    <col min="13084" max="13084" width="0" style="225" hidden="1" customWidth="1"/>
    <col min="13085" max="13110" width="3.625" style="225" customWidth="1"/>
    <col min="13111" max="13309" width="8.875" style="225"/>
    <col min="13310" max="13310" width="2.625" style="225" customWidth="1"/>
    <col min="13311" max="13311" width="8.625" style="225" customWidth="1"/>
    <col min="13312" max="13312" width="30.625" style="225" customWidth="1"/>
    <col min="13313" max="13313" width="15.625" style="225" customWidth="1"/>
    <col min="13314" max="13314" width="4.625" style="225" customWidth="1"/>
    <col min="13315" max="13316" width="6.625" style="225" customWidth="1"/>
    <col min="13317" max="13318" width="7.625" style="225" customWidth="1"/>
    <col min="13319" max="13319" width="3.625" style="225" customWidth="1"/>
    <col min="13320" max="13320" width="5.625" style="225" customWidth="1"/>
    <col min="13321" max="13322" width="6.625" style="225" customWidth="1"/>
    <col min="13323" max="13324" width="7.625" style="225" customWidth="1"/>
    <col min="13325" max="13326" width="6.625" style="225" customWidth="1"/>
    <col min="13327" max="13329" width="7.625" style="225" customWidth="1"/>
    <col min="13330" max="13330" width="8.625" style="225" customWidth="1"/>
    <col min="13331" max="13331" width="4.5" style="225" bestFit="1" customWidth="1"/>
    <col min="13332" max="13333" width="6.625" style="225" customWidth="1"/>
    <col min="13334" max="13335" width="7.625" style="225" customWidth="1"/>
    <col min="13336" max="13337" width="15.625" style="225" customWidth="1"/>
    <col min="13338" max="13338" width="30.625" style="225" customWidth="1"/>
    <col min="13339" max="13339" width="3.625" style="225" customWidth="1"/>
    <col min="13340" max="13340" width="0" style="225" hidden="1" customWidth="1"/>
    <col min="13341" max="13366" width="3.625" style="225" customWidth="1"/>
    <col min="13367" max="13565" width="8.875" style="225"/>
    <col min="13566" max="13566" width="2.625" style="225" customWidth="1"/>
    <col min="13567" max="13567" width="8.625" style="225" customWidth="1"/>
    <col min="13568" max="13568" width="30.625" style="225" customWidth="1"/>
    <col min="13569" max="13569" width="15.625" style="225" customWidth="1"/>
    <col min="13570" max="13570" width="4.625" style="225" customWidth="1"/>
    <col min="13571" max="13572" width="6.625" style="225" customWidth="1"/>
    <col min="13573" max="13574" width="7.625" style="225" customWidth="1"/>
    <col min="13575" max="13575" width="3.625" style="225" customWidth="1"/>
    <col min="13576" max="13576" width="5.625" style="225" customWidth="1"/>
    <col min="13577" max="13578" width="6.625" style="225" customWidth="1"/>
    <col min="13579" max="13580" width="7.625" style="225" customWidth="1"/>
    <col min="13581" max="13582" width="6.625" style="225" customWidth="1"/>
    <col min="13583" max="13585" width="7.625" style="225" customWidth="1"/>
    <col min="13586" max="13586" width="8.625" style="225" customWidth="1"/>
    <col min="13587" max="13587" width="4.5" style="225" bestFit="1" customWidth="1"/>
    <col min="13588" max="13589" width="6.625" style="225" customWidth="1"/>
    <col min="13590" max="13591" width="7.625" style="225" customWidth="1"/>
    <col min="13592" max="13593" width="15.625" style="225" customWidth="1"/>
    <col min="13594" max="13594" width="30.625" style="225" customWidth="1"/>
    <col min="13595" max="13595" width="3.625" style="225" customWidth="1"/>
    <col min="13596" max="13596" width="0" style="225" hidden="1" customWidth="1"/>
    <col min="13597" max="13622" width="3.625" style="225" customWidth="1"/>
    <col min="13623" max="13821" width="8.875" style="225"/>
    <col min="13822" max="13822" width="2.625" style="225" customWidth="1"/>
    <col min="13823" max="13823" width="8.625" style="225" customWidth="1"/>
    <col min="13824" max="13824" width="30.625" style="225" customWidth="1"/>
    <col min="13825" max="13825" width="15.625" style="225" customWidth="1"/>
    <col min="13826" max="13826" width="4.625" style="225" customWidth="1"/>
    <col min="13827" max="13828" width="6.625" style="225" customWidth="1"/>
    <col min="13829" max="13830" width="7.625" style="225" customWidth="1"/>
    <col min="13831" max="13831" width="3.625" style="225" customWidth="1"/>
    <col min="13832" max="13832" width="5.625" style="225" customWidth="1"/>
    <col min="13833" max="13834" width="6.625" style="225" customWidth="1"/>
    <col min="13835" max="13836" width="7.625" style="225" customWidth="1"/>
    <col min="13837" max="13838" width="6.625" style="225" customWidth="1"/>
    <col min="13839" max="13841" width="7.625" style="225" customWidth="1"/>
    <col min="13842" max="13842" width="8.625" style="225" customWidth="1"/>
    <col min="13843" max="13843" width="4.5" style="225" bestFit="1" customWidth="1"/>
    <col min="13844" max="13845" width="6.625" style="225" customWidth="1"/>
    <col min="13846" max="13847" width="7.625" style="225" customWidth="1"/>
    <col min="13848" max="13849" width="15.625" style="225" customWidth="1"/>
    <col min="13850" max="13850" width="30.625" style="225" customWidth="1"/>
    <col min="13851" max="13851" width="3.625" style="225" customWidth="1"/>
    <col min="13852" max="13852" width="0" style="225" hidden="1" customWidth="1"/>
    <col min="13853" max="13878" width="3.625" style="225" customWidth="1"/>
    <col min="13879" max="14077" width="8.875" style="225"/>
    <col min="14078" max="14078" width="2.625" style="225" customWidth="1"/>
    <col min="14079" max="14079" width="8.625" style="225" customWidth="1"/>
    <col min="14080" max="14080" width="30.625" style="225" customWidth="1"/>
    <col min="14081" max="14081" width="15.625" style="225" customWidth="1"/>
    <col min="14082" max="14082" width="4.625" style="225" customWidth="1"/>
    <col min="14083" max="14084" width="6.625" style="225" customWidth="1"/>
    <col min="14085" max="14086" width="7.625" style="225" customWidth="1"/>
    <col min="14087" max="14087" width="3.625" style="225" customWidth="1"/>
    <col min="14088" max="14088" width="5.625" style="225" customWidth="1"/>
    <col min="14089" max="14090" width="6.625" style="225" customWidth="1"/>
    <col min="14091" max="14092" width="7.625" style="225" customWidth="1"/>
    <col min="14093" max="14094" width="6.625" style="225" customWidth="1"/>
    <col min="14095" max="14097" width="7.625" style="225" customWidth="1"/>
    <col min="14098" max="14098" width="8.625" style="225" customWidth="1"/>
    <col min="14099" max="14099" width="4.5" style="225" bestFit="1" customWidth="1"/>
    <col min="14100" max="14101" width="6.625" style="225" customWidth="1"/>
    <col min="14102" max="14103" width="7.625" style="225" customWidth="1"/>
    <col min="14104" max="14105" width="15.625" style="225" customWidth="1"/>
    <col min="14106" max="14106" width="30.625" style="225" customWidth="1"/>
    <col min="14107" max="14107" width="3.625" style="225" customWidth="1"/>
    <col min="14108" max="14108" width="0" style="225" hidden="1" customWidth="1"/>
    <col min="14109" max="14134" width="3.625" style="225" customWidth="1"/>
    <col min="14135" max="14333" width="8.875" style="225"/>
    <col min="14334" max="14334" width="2.625" style="225" customWidth="1"/>
    <col min="14335" max="14335" width="8.625" style="225" customWidth="1"/>
    <col min="14336" max="14336" width="30.625" style="225" customWidth="1"/>
    <col min="14337" max="14337" width="15.625" style="225" customWidth="1"/>
    <col min="14338" max="14338" width="4.625" style="225" customWidth="1"/>
    <col min="14339" max="14340" width="6.625" style="225" customWidth="1"/>
    <col min="14341" max="14342" width="7.625" style="225" customWidth="1"/>
    <col min="14343" max="14343" width="3.625" style="225" customWidth="1"/>
    <col min="14344" max="14344" width="5.625" style="225" customWidth="1"/>
    <col min="14345" max="14346" width="6.625" style="225" customWidth="1"/>
    <col min="14347" max="14348" width="7.625" style="225" customWidth="1"/>
    <col min="14349" max="14350" width="6.625" style="225" customWidth="1"/>
    <col min="14351" max="14353" width="7.625" style="225" customWidth="1"/>
    <col min="14354" max="14354" width="8.625" style="225" customWidth="1"/>
    <col min="14355" max="14355" width="4.5" style="225" bestFit="1" customWidth="1"/>
    <col min="14356" max="14357" width="6.625" style="225" customWidth="1"/>
    <col min="14358" max="14359" width="7.625" style="225" customWidth="1"/>
    <col min="14360" max="14361" width="15.625" style="225" customWidth="1"/>
    <col min="14362" max="14362" width="30.625" style="225" customWidth="1"/>
    <col min="14363" max="14363" width="3.625" style="225" customWidth="1"/>
    <col min="14364" max="14364" width="0" style="225" hidden="1" customWidth="1"/>
    <col min="14365" max="14390" width="3.625" style="225" customWidth="1"/>
    <col min="14391" max="14589" width="8.875" style="225"/>
    <col min="14590" max="14590" width="2.625" style="225" customWidth="1"/>
    <col min="14591" max="14591" width="8.625" style="225" customWidth="1"/>
    <col min="14592" max="14592" width="30.625" style="225" customWidth="1"/>
    <col min="14593" max="14593" width="15.625" style="225" customWidth="1"/>
    <col min="14594" max="14594" width="4.625" style="225" customWidth="1"/>
    <col min="14595" max="14596" width="6.625" style="225" customWidth="1"/>
    <col min="14597" max="14598" width="7.625" style="225" customWidth="1"/>
    <col min="14599" max="14599" width="3.625" style="225" customWidth="1"/>
    <col min="14600" max="14600" width="5.625" style="225" customWidth="1"/>
    <col min="14601" max="14602" width="6.625" style="225" customWidth="1"/>
    <col min="14603" max="14604" width="7.625" style="225" customWidth="1"/>
    <col min="14605" max="14606" width="6.625" style="225" customWidth="1"/>
    <col min="14607" max="14609" width="7.625" style="225" customWidth="1"/>
    <col min="14610" max="14610" width="8.625" style="225" customWidth="1"/>
    <col min="14611" max="14611" width="4.5" style="225" bestFit="1" customWidth="1"/>
    <col min="14612" max="14613" width="6.625" style="225" customWidth="1"/>
    <col min="14614" max="14615" width="7.625" style="225" customWidth="1"/>
    <col min="14616" max="14617" width="15.625" style="225" customWidth="1"/>
    <col min="14618" max="14618" width="30.625" style="225" customWidth="1"/>
    <col min="14619" max="14619" width="3.625" style="225" customWidth="1"/>
    <col min="14620" max="14620" width="0" style="225" hidden="1" customWidth="1"/>
    <col min="14621" max="14646" width="3.625" style="225" customWidth="1"/>
    <col min="14647" max="14845" width="8.875" style="225"/>
    <col min="14846" max="14846" width="2.625" style="225" customWidth="1"/>
    <col min="14847" max="14847" width="8.625" style="225" customWidth="1"/>
    <col min="14848" max="14848" width="30.625" style="225" customWidth="1"/>
    <col min="14849" max="14849" width="15.625" style="225" customWidth="1"/>
    <col min="14850" max="14850" width="4.625" style="225" customWidth="1"/>
    <col min="14851" max="14852" width="6.625" style="225" customWidth="1"/>
    <col min="14853" max="14854" width="7.625" style="225" customWidth="1"/>
    <col min="14855" max="14855" width="3.625" style="225" customWidth="1"/>
    <col min="14856" max="14856" width="5.625" style="225" customWidth="1"/>
    <col min="14857" max="14858" width="6.625" style="225" customWidth="1"/>
    <col min="14859" max="14860" width="7.625" style="225" customWidth="1"/>
    <col min="14861" max="14862" width="6.625" style="225" customWidth="1"/>
    <col min="14863" max="14865" width="7.625" style="225" customWidth="1"/>
    <col min="14866" max="14866" width="8.625" style="225" customWidth="1"/>
    <col min="14867" max="14867" width="4.5" style="225" bestFit="1" customWidth="1"/>
    <col min="14868" max="14869" width="6.625" style="225" customWidth="1"/>
    <col min="14870" max="14871" width="7.625" style="225" customWidth="1"/>
    <col min="14872" max="14873" width="15.625" style="225" customWidth="1"/>
    <col min="14874" max="14874" width="30.625" style="225" customWidth="1"/>
    <col min="14875" max="14875" width="3.625" style="225" customWidth="1"/>
    <col min="14876" max="14876" width="0" style="225" hidden="1" customWidth="1"/>
    <col min="14877" max="14902" width="3.625" style="225" customWidth="1"/>
    <col min="14903" max="15101" width="8.875" style="225"/>
    <col min="15102" max="15102" width="2.625" style="225" customWidth="1"/>
    <col min="15103" max="15103" width="8.625" style="225" customWidth="1"/>
    <col min="15104" max="15104" width="30.625" style="225" customWidth="1"/>
    <col min="15105" max="15105" width="15.625" style="225" customWidth="1"/>
    <col min="15106" max="15106" width="4.625" style="225" customWidth="1"/>
    <col min="15107" max="15108" width="6.625" style="225" customWidth="1"/>
    <col min="15109" max="15110" width="7.625" style="225" customWidth="1"/>
    <col min="15111" max="15111" width="3.625" style="225" customWidth="1"/>
    <col min="15112" max="15112" width="5.625" style="225" customWidth="1"/>
    <col min="15113" max="15114" width="6.625" style="225" customWidth="1"/>
    <col min="15115" max="15116" width="7.625" style="225" customWidth="1"/>
    <col min="15117" max="15118" width="6.625" style="225" customWidth="1"/>
    <col min="15119" max="15121" width="7.625" style="225" customWidth="1"/>
    <col min="15122" max="15122" width="8.625" style="225" customWidth="1"/>
    <col min="15123" max="15123" width="4.5" style="225" bestFit="1" customWidth="1"/>
    <col min="15124" max="15125" width="6.625" style="225" customWidth="1"/>
    <col min="15126" max="15127" width="7.625" style="225" customWidth="1"/>
    <col min="15128" max="15129" width="15.625" style="225" customWidth="1"/>
    <col min="15130" max="15130" width="30.625" style="225" customWidth="1"/>
    <col min="15131" max="15131" width="3.625" style="225" customWidth="1"/>
    <col min="15132" max="15132" width="0" style="225" hidden="1" customWidth="1"/>
    <col min="15133" max="15158" width="3.625" style="225" customWidth="1"/>
    <col min="15159" max="15357" width="8.875" style="225"/>
    <col min="15358" max="15358" width="2.625" style="225" customWidth="1"/>
    <col min="15359" max="15359" width="8.625" style="225" customWidth="1"/>
    <col min="15360" max="15360" width="30.625" style="225" customWidth="1"/>
    <col min="15361" max="15361" width="15.625" style="225" customWidth="1"/>
    <col min="15362" max="15362" width="4.625" style="225" customWidth="1"/>
    <col min="15363" max="15364" width="6.625" style="225" customWidth="1"/>
    <col min="15365" max="15366" width="7.625" style="225" customWidth="1"/>
    <col min="15367" max="15367" width="3.625" style="225" customWidth="1"/>
    <col min="15368" max="15368" width="5.625" style="225" customWidth="1"/>
    <col min="15369" max="15370" width="6.625" style="225" customWidth="1"/>
    <col min="15371" max="15372" width="7.625" style="225" customWidth="1"/>
    <col min="15373" max="15374" width="6.625" style="225" customWidth="1"/>
    <col min="15375" max="15377" width="7.625" style="225" customWidth="1"/>
    <col min="15378" max="15378" width="8.625" style="225" customWidth="1"/>
    <col min="15379" max="15379" width="4.5" style="225" bestFit="1" customWidth="1"/>
    <col min="15380" max="15381" width="6.625" style="225" customWidth="1"/>
    <col min="15382" max="15383" width="7.625" style="225" customWidth="1"/>
    <col min="15384" max="15385" width="15.625" style="225" customWidth="1"/>
    <col min="15386" max="15386" width="30.625" style="225" customWidth="1"/>
    <col min="15387" max="15387" width="3.625" style="225" customWidth="1"/>
    <col min="15388" max="15388" width="0" style="225" hidden="1" customWidth="1"/>
    <col min="15389" max="15414" width="3.625" style="225" customWidth="1"/>
    <col min="15415" max="15613" width="8.875" style="225"/>
    <col min="15614" max="15614" width="2.625" style="225" customWidth="1"/>
    <col min="15615" max="15615" width="8.625" style="225" customWidth="1"/>
    <col min="15616" max="15616" width="30.625" style="225" customWidth="1"/>
    <col min="15617" max="15617" width="15.625" style="225" customWidth="1"/>
    <col min="15618" max="15618" width="4.625" style="225" customWidth="1"/>
    <col min="15619" max="15620" width="6.625" style="225" customWidth="1"/>
    <col min="15621" max="15622" width="7.625" style="225" customWidth="1"/>
    <col min="15623" max="15623" width="3.625" style="225" customWidth="1"/>
    <col min="15624" max="15624" width="5.625" style="225" customWidth="1"/>
    <col min="15625" max="15626" width="6.625" style="225" customWidth="1"/>
    <col min="15627" max="15628" width="7.625" style="225" customWidth="1"/>
    <col min="15629" max="15630" width="6.625" style="225" customWidth="1"/>
    <col min="15631" max="15633" width="7.625" style="225" customWidth="1"/>
    <col min="15634" max="15634" width="8.625" style="225" customWidth="1"/>
    <col min="15635" max="15635" width="4.5" style="225" bestFit="1" customWidth="1"/>
    <col min="15636" max="15637" width="6.625" style="225" customWidth="1"/>
    <col min="15638" max="15639" width="7.625" style="225" customWidth="1"/>
    <col min="15640" max="15641" width="15.625" style="225" customWidth="1"/>
    <col min="15642" max="15642" width="30.625" style="225" customWidth="1"/>
    <col min="15643" max="15643" width="3.625" style="225" customWidth="1"/>
    <col min="15644" max="15644" width="0" style="225" hidden="1" customWidth="1"/>
    <col min="15645" max="15670" width="3.625" style="225" customWidth="1"/>
    <col min="15671" max="15869" width="8.875" style="225"/>
    <col min="15870" max="15870" width="2.625" style="225" customWidth="1"/>
    <col min="15871" max="15871" width="8.625" style="225" customWidth="1"/>
    <col min="15872" max="15872" width="30.625" style="225" customWidth="1"/>
    <col min="15873" max="15873" width="15.625" style="225" customWidth="1"/>
    <col min="15874" max="15874" width="4.625" style="225" customWidth="1"/>
    <col min="15875" max="15876" width="6.625" style="225" customWidth="1"/>
    <col min="15877" max="15878" width="7.625" style="225" customWidth="1"/>
    <col min="15879" max="15879" width="3.625" style="225" customWidth="1"/>
    <col min="15880" max="15880" width="5.625" style="225" customWidth="1"/>
    <col min="15881" max="15882" width="6.625" style="225" customWidth="1"/>
    <col min="15883" max="15884" width="7.625" style="225" customWidth="1"/>
    <col min="15885" max="15886" width="6.625" style="225" customWidth="1"/>
    <col min="15887" max="15889" width="7.625" style="225" customWidth="1"/>
    <col min="15890" max="15890" width="8.625" style="225" customWidth="1"/>
    <col min="15891" max="15891" width="4.5" style="225" bestFit="1" customWidth="1"/>
    <col min="15892" max="15893" width="6.625" style="225" customWidth="1"/>
    <col min="15894" max="15895" width="7.625" style="225" customWidth="1"/>
    <col min="15896" max="15897" width="15.625" style="225" customWidth="1"/>
    <col min="15898" max="15898" width="30.625" style="225" customWidth="1"/>
    <col min="15899" max="15899" width="3.625" style="225" customWidth="1"/>
    <col min="15900" max="15900" width="0" style="225" hidden="1" customWidth="1"/>
    <col min="15901" max="15926" width="3.625" style="225" customWidth="1"/>
    <col min="15927" max="16125" width="8.875" style="225"/>
    <col min="16126" max="16126" width="2.625" style="225" customWidth="1"/>
    <col min="16127" max="16127" width="8.625" style="225" customWidth="1"/>
    <col min="16128" max="16128" width="30.625" style="225" customWidth="1"/>
    <col min="16129" max="16129" width="15.625" style="225" customWidth="1"/>
    <col min="16130" max="16130" width="4.625" style="225" customWidth="1"/>
    <col min="16131" max="16132" width="6.625" style="225" customWidth="1"/>
    <col min="16133" max="16134" width="7.625" style="225" customWidth="1"/>
    <col min="16135" max="16135" width="3.625" style="225" customWidth="1"/>
    <col min="16136" max="16136" width="5.625" style="225" customWidth="1"/>
    <col min="16137" max="16138" width="6.625" style="225" customWidth="1"/>
    <col min="16139" max="16140" width="7.625" style="225" customWidth="1"/>
    <col min="16141" max="16142" width="6.625" style="225" customWidth="1"/>
    <col min="16143" max="16145" width="7.625" style="225" customWidth="1"/>
    <col min="16146" max="16146" width="8.625" style="225" customWidth="1"/>
    <col min="16147" max="16147" width="4.5" style="225" bestFit="1" customWidth="1"/>
    <col min="16148" max="16149" width="6.625" style="225" customWidth="1"/>
    <col min="16150" max="16151" width="7.625" style="225" customWidth="1"/>
    <col min="16152" max="16153" width="15.625" style="225" customWidth="1"/>
    <col min="16154" max="16154" width="30.625" style="225" customWidth="1"/>
    <col min="16155" max="16155" width="3.625" style="225" customWidth="1"/>
    <col min="16156" max="16156" width="0" style="225" hidden="1" customWidth="1"/>
    <col min="16157" max="16182" width="3.625" style="225" customWidth="1"/>
    <col min="16183" max="16379" width="8.875" style="225"/>
    <col min="16380" max="16380" width="9" style="225" customWidth="1"/>
    <col min="16381" max="16384" width="9" style="225"/>
  </cols>
  <sheetData>
    <row r="1" spans="2:28" ht="15" customHeight="1" thickBot="1">
      <c r="B1" s="224" t="s">
        <v>41</v>
      </c>
      <c r="C1" s="6"/>
      <c r="D1" s="6"/>
      <c r="E1" s="6"/>
      <c r="F1" s="20" t="s">
        <v>3</v>
      </c>
      <c r="G1" s="523" t="s">
        <v>361</v>
      </c>
      <c r="H1" s="523"/>
      <c r="I1" s="523"/>
      <c r="J1" s="523"/>
      <c r="K1" s="524"/>
      <c r="L1" s="19"/>
      <c r="M1" s="225"/>
      <c r="O1" s="6"/>
      <c r="P1" s="6"/>
      <c r="S1" s="6"/>
      <c r="T1" s="226" t="s">
        <v>40</v>
      </c>
      <c r="U1" s="525" t="s">
        <v>624</v>
      </c>
      <c r="V1" s="526"/>
      <c r="X1" s="6"/>
      <c r="Y1" s="6"/>
      <c r="Z1" s="18" t="s">
        <v>39</v>
      </c>
      <c r="AA1" s="1"/>
      <c r="AB1" s="1"/>
    </row>
    <row r="2" spans="2:28" ht="15" customHeight="1" thickBot="1">
      <c r="B2" s="351" t="s">
        <v>602</v>
      </c>
      <c r="C2" s="6"/>
      <c r="D2" s="6"/>
      <c r="E2" s="6"/>
      <c r="F2" s="6"/>
      <c r="G2" s="22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7"/>
      <c r="V2" s="6"/>
      <c r="W2" s="6"/>
      <c r="X2" s="6"/>
      <c r="Y2" s="6"/>
      <c r="Z2" s="6"/>
    </row>
    <row r="3" spans="2:28" ht="15" customHeight="1">
      <c r="B3" s="513" t="s">
        <v>38</v>
      </c>
      <c r="C3" s="515" t="s">
        <v>37</v>
      </c>
      <c r="D3" s="515" t="s">
        <v>36</v>
      </c>
      <c r="E3" s="515" t="s">
        <v>35</v>
      </c>
      <c r="F3" s="515" t="s">
        <v>34</v>
      </c>
      <c r="G3" s="527" t="s">
        <v>591</v>
      </c>
      <c r="H3" s="529" t="s">
        <v>33</v>
      </c>
      <c r="I3" s="530" t="s">
        <v>32</v>
      </c>
      <c r="J3" s="531"/>
      <c r="K3" s="531"/>
      <c r="L3" s="532"/>
      <c r="M3" s="530" t="s">
        <v>0</v>
      </c>
      <c r="N3" s="531"/>
      <c r="O3" s="531"/>
      <c r="P3" s="531"/>
      <c r="Q3" s="531"/>
      <c r="R3" s="531"/>
      <c r="S3" s="531"/>
      <c r="T3" s="532"/>
      <c r="U3" s="530" t="s">
        <v>130</v>
      </c>
      <c r="V3" s="531"/>
      <c r="W3" s="531"/>
      <c r="X3" s="531"/>
      <c r="Y3" s="532"/>
      <c r="Z3" s="533" t="s">
        <v>31</v>
      </c>
    </row>
    <row r="4" spans="2:28" ht="15" customHeight="1">
      <c r="B4" s="514"/>
      <c r="C4" s="516"/>
      <c r="D4" s="516"/>
      <c r="E4" s="516"/>
      <c r="F4" s="516"/>
      <c r="G4" s="528"/>
      <c r="H4" s="516"/>
      <c r="I4" s="535" t="s">
        <v>30</v>
      </c>
      <c r="J4" s="536"/>
      <c r="K4" s="537" t="s">
        <v>29</v>
      </c>
      <c r="L4" s="538"/>
      <c r="M4" s="228" t="s">
        <v>28</v>
      </c>
      <c r="N4" s="229" t="s">
        <v>27</v>
      </c>
      <c r="O4" s="539" t="s">
        <v>26</v>
      </c>
      <c r="P4" s="540"/>
      <c r="Q4" s="539" t="s">
        <v>25</v>
      </c>
      <c r="R4" s="541"/>
      <c r="S4" s="228" t="s">
        <v>24</v>
      </c>
      <c r="T4" s="229" t="s">
        <v>24</v>
      </c>
      <c r="U4" s="228"/>
      <c r="V4" s="539" t="s">
        <v>23</v>
      </c>
      <c r="W4" s="540"/>
      <c r="X4" s="539" t="s">
        <v>22</v>
      </c>
      <c r="Y4" s="541"/>
      <c r="Z4" s="534"/>
    </row>
    <row r="5" spans="2:28" ht="22.5">
      <c r="B5" s="514"/>
      <c r="C5" s="516"/>
      <c r="D5" s="516"/>
      <c r="E5" s="516"/>
      <c r="F5" s="516"/>
      <c r="G5" s="528"/>
      <c r="H5" s="516"/>
      <c r="I5" s="230" t="s">
        <v>19</v>
      </c>
      <c r="J5" s="231" t="s">
        <v>18</v>
      </c>
      <c r="K5" s="231" t="s">
        <v>19</v>
      </c>
      <c r="L5" s="231" t="s">
        <v>18</v>
      </c>
      <c r="M5" s="230"/>
      <c r="N5" s="231"/>
      <c r="O5" s="232" t="s">
        <v>19</v>
      </c>
      <c r="P5" s="232" t="s">
        <v>18</v>
      </c>
      <c r="Q5" s="232" t="s">
        <v>19</v>
      </c>
      <c r="R5" s="233" t="s">
        <v>18</v>
      </c>
      <c r="S5" s="230" t="s">
        <v>21</v>
      </c>
      <c r="T5" s="234" t="s">
        <v>20</v>
      </c>
      <c r="U5" s="230" t="s">
        <v>2</v>
      </c>
      <c r="V5" s="232" t="s">
        <v>19</v>
      </c>
      <c r="W5" s="232" t="s">
        <v>18</v>
      </c>
      <c r="X5" s="232" t="s">
        <v>19</v>
      </c>
      <c r="Y5" s="232" t="s">
        <v>18</v>
      </c>
      <c r="Z5" s="534"/>
    </row>
    <row r="6" spans="2:28" ht="15" customHeight="1" thickBot="1">
      <c r="B6" s="514"/>
      <c r="C6" s="516"/>
      <c r="D6" s="516"/>
      <c r="E6" s="516"/>
      <c r="F6" s="516"/>
      <c r="G6" s="528"/>
      <c r="H6" s="516"/>
      <c r="I6" s="230" t="s">
        <v>15</v>
      </c>
      <c r="J6" s="231" t="s">
        <v>17</v>
      </c>
      <c r="K6" s="231" t="s">
        <v>131</v>
      </c>
      <c r="L6" s="231" t="s">
        <v>14</v>
      </c>
      <c r="M6" s="230" t="s">
        <v>132</v>
      </c>
      <c r="N6" s="231" t="s">
        <v>133</v>
      </c>
      <c r="O6" s="231" t="s">
        <v>15</v>
      </c>
      <c r="P6" s="231" t="s">
        <v>15</v>
      </c>
      <c r="Q6" s="231" t="s">
        <v>14</v>
      </c>
      <c r="R6" s="235" t="s">
        <v>16</v>
      </c>
      <c r="S6" s="230" t="s">
        <v>15</v>
      </c>
      <c r="T6" s="231" t="s">
        <v>134</v>
      </c>
      <c r="U6" s="230"/>
      <c r="V6" s="236" t="s">
        <v>13</v>
      </c>
      <c r="W6" s="236" t="s">
        <v>13</v>
      </c>
      <c r="X6" s="237" t="s">
        <v>135</v>
      </c>
      <c r="Y6" s="237" t="s">
        <v>136</v>
      </c>
      <c r="Z6" s="534"/>
    </row>
    <row r="7" spans="2:28" ht="15" customHeight="1">
      <c r="B7" s="380" t="s">
        <v>12</v>
      </c>
      <c r="C7" s="381"/>
      <c r="D7" s="382"/>
      <c r="E7" s="381"/>
      <c r="F7" s="382"/>
      <c r="G7" s="383"/>
      <c r="H7" s="382"/>
      <c r="I7" s="384"/>
      <c r="J7" s="385"/>
      <c r="K7" s="386"/>
      <c r="L7" s="385"/>
      <c r="M7" s="384"/>
      <c r="N7" s="387"/>
      <c r="O7" s="388"/>
      <c r="P7" s="388"/>
      <c r="Q7" s="388"/>
      <c r="R7" s="389"/>
      <c r="S7" s="390"/>
      <c r="T7" s="388"/>
      <c r="U7" s="391"/>
      <c r="V7" s="385"/>
      <c r="W7" s="385"/>
      <c r="X7" s="392"/>
      <c r="Y7" s="392"/>
      <c r="Z7" s="393"/>
    </row>
    <row r="8" spans="2:28" ht="15" customHeight="1">
      <c r="B8" s="356" t="s">
        <v>386</v>
      </c>
      <c r="C8" s="357" t="s">
        <v>11</v>
      </c>
      <c r="D8" s="358"/>
      <c r="E8" s="357"/>
      <c r="F8" s="359" t="s">
        <v>589</v>
      </c>
      <c r="G8" s="421" t="s">
        <v>603</v>
      </c>
      <c r="H8" s="364">
        <v>2</v>
      </c>
      <c r="I8" s="365">
        <v>85</v>
      </c>
      <c r="J8" s="366">
        <v>95</v>
      </c>
      <c r="K8" s="55">
        <f t="shared" ref="K8:L20" si="0">$H8*I8</f>
        <v>170</v>
      </c>
      <c r="L8" s="56">
        <f t="shared" si="0"/>
        <v>190</v>
      </c>
      <c r="M8" s="370">
        <v>1</v>
      </c>
      <c r="N8" s="371">
        <v>200</v>
      </c>
      <c r="O8" s="372">
        <v>1.8</v>
      </c>
      <c r="P8" s="372">
        <v>1.74</v>
      </c>
      <c r="Q8" s="15">
        <f t="shared" ref="Q8:R20" si="1">$H8*O8</f>
        <v>3.6</v>
      </c>
      <c r="R8" s="57">
        <f t="shared" si="1"/>
        <v>3.48</v>
      </c>
      <c r="S8" s="376">
        <v>0.03</v>
      </c>
      <c r="T8" s="15">
        <f t="shared" ref="T8:T20" si="2">$H8*S8</f>
        <v>0.06</v>
      </c>
      <c r="U8" s="14" t="str">
        <f t="shared" ref="U8:U20" si="3">IF(V8="","",$U$1)</f>
        <v/>
      </c>
      <c r="V8" s="366"/>
      <c r="W8" s="366"/>
      <c r="X8" s="221">
        <f t="shared" ref="X8:Y20" si="4">$H8*V8</f>
        <v>0</v>
      </c>
      <c r="Y8" s="221">
        <f t="shared" si="4"/>
        <v>0</v>
      </c>
      <c r="Z8" s="354"/>
    </row>
    <row r="9" spans="2:28" ht="15" customHeight="1">
      <c r="B9" s="356" t="s">
        <v>387</v>
      </c>
      <c r="C9" s="357" t="s">
        <v>11</v>
      </c>
      <c r="D9" s="358"/>
      <c r="E9" s="357"/>
      <c r="F9" s="359" t="s">
        <v>589</v>
      </c>
      <c r="G9" s="421" t="s">
        <v>604</v>
      </c>
      <c r="H9" s="364">
        <v>2</v>
      </c>
      <c r="I9" s="365">
        <v>45</v>
      </c>
      <c r="J9" s="366">
        <v>50</v>
      </c>
      <c r="K9" s="55">
        <f t="shared" si="0"/>
        <v>90</v>
      </c>
      <c r="L9" s="56">
        <f t="shared" si="0"/>
        <v>100</v>
      </c>
      <c r="M9" s="370">
        <v>1</v>
      </c>
      <c r="N9" s="371">
        <v>200</v>
      </c>
      <c r="O9" s="372">
        <v>1.1399999999999999</v>
      </c>
      <c r="P9" s="372">
        <v>9.51</v>
      </c>
      <c r="Q9" s="15">
        <f t="shared" si="1"/>
        <v>2.2799999999999998</v>
      </c>
      <c r="R9" s="57">
        <f t="shared" si="1"/>
        <v>19.02</v>
      </c>
      <c r="S9" s="376">
        <v>0.03</v>
      </c>
      <c r="T9" s="15">
        <f t="shared" si="2"/>
        <v>0.06</v>
      </c>
      <c r="U9" s="14" t="str">
        <f t="shared" si="3"/>
        <v>LPG</v>
      </c>
      <c r="V9" s="366">
        <v>1</v>
      </c>
      <c r="W9" s="366"/>
      <c r="X9" s="221">
        <f t="shared" si="4"/>
        <v>2</v>
      </c>
      <c r="Y9" s="221">
        <f t="shared" si="4"/>
        <v>0</v>
      </c>
      <c r="Z9" s="354"/>
    </row>
    <row r="10" spans="2:28" ht="15" customHeight="1">
      <c r="B10" s="356" t="s">
        <v>388</v>
      </c>
      <c r="C10" s="357" t="s">
        <v>11</v>
      </c>
      <c r="D10" s="358"/>
      <c r="E10" s="357"/>
      <c r="F10" s="359" t="s">
        <v>589</v>
      </c>
      <c r="G10" s="421" t="s">
        <v>604</v>
      </c>
      <c r="H10" s="364">
        <v>1</v>
      </c>
      <c r="I10" s="365">
        <v>45</v>
      </c>
      <c r="J10" s="366">
        <v>50</v>
      </c>
      <c r="K10" s="55">
        <f t="shared" si="0"/>
        <v>45</v>
      </c>
      <c r="L10" s="56">
        <f t="shared" si="0"/>
        <v>50</v>
      </c>
      <c r="M10" s="370">
        <v>1</v>
      </c>
      <c r="N10" s="371">
        <v>200</v>
      </c>
      <c r="O10" s="372">
        <v>1.1399999999999999</v>
      </c>
      <c r="P10" s="372">
        <v>9.51</v>
      </c>
      <c r="Q10" s="15">
        <f t="shared" si="1"/>
        <v>1.1399999999999999</v>
      </c>
      <c r="R10" s="57">
        <f t="shared" si="1"/>
        <v>9.51</v>
      </c>
      <c r="S10" s="376">
        <v>0.03</v>
      </c>
      <c r="T10" s="15">
        <f t="shared" si="2"/>
        <v>0.03</v>
      </c>
      <c r="U10" s="14" t="str">
        <f t="shared" si="3"/>
        <v/>
      </c>
      <c r="V10" s="366"/>
      <c r="W10" s="366"/>
      <c r="X10" s="221">
        <f t="shared" si="4"/>
        <v>0</v>
      </c>
      <c r="Y10" s="221">
        <f t="shared" si="4"/>
        <v>0</v>
      </c>
      <c r="Z10" s="354"/>
    </row>
    <row r="11" spans="2:28" ht="15" customHeight="1">
      <c r="B11" s="356" t="s">
        <v>389</v>
      </c>
      <c r="C11" s="357" t="s">
        <v>11</v>
      </c>
      <c r="D11" s="358"/>
      <c r="E11" s="357"/>
      <c r="F11" s="359" t="s">
        <v>589</v>
      </c>
      <c r="G11" s="421" t="s">
        <v>604</v>
      </c>
      <c r="H11" s="364">
        <v>1</v>
      </c>
      <c r="I11" s="365">
        <v>45</v>
      </c>
      <c r="J11" s="366">
        <v>50</v>
      </c>
      <c r="K11" s="55">
        <f t="shared" si="0"/>
        <v>45</v>
      </c>
      <c r="L11" s="56">
        <f t="shared" si="0"/>
        <v>50</v>
      </c>
      <c r="M11" s="370">
        <v>1</v>
      </c>
      <c r="N11" s="371">
        <v>200</v>
      </c>
      <c r="O11" s="372">
        <v>1.1399999999999999</v>
      </c>
      <c r="P11" s="372">
        <v>9.51</v>
      </c>
      <c r="Q11" s="15">
        <f t="shared" si="1"/>
        <v>1.1399999999999999</v>
      </c>
      <c r="R11" s="57">
        <f t="shared" si="1"/>
        <v>9.51</v>
      </c>
      <c r="S11" s="376">
        <v>0.03</v>
      </c>
      <c r="T11" s="15">
        <f t="shared" si="2"/>
        <v>0.03</v>
      </c>
      <c r="U11" s="14" t="str">
        <f t="shared" si="3"/>
        <v/>
      </c>
      <c r="V11" s="366"/>
      <c r="W11" s="366"/>
      <c r="X11" s="221">
        <f t="shared" si="4"/>
        <v>0</v>
      </c>
      <c r="Y11" s="221">
        <f t="shared" si="4"/>
        <v>0</v>
      </c>
      <c r="Z11" s="354"/>
    </row>
    <row r="12" spans="2:28" ht="15" customHeight="1">
      <c r="B12" s="356" t="s">
        <v>390</v>
      </c>
      <c r="C12" s="357" t="s">
        <v>11</v>
      </c>
      <c r="D12" s="358"/>
      <c r="E12" s="357"/>
      <c r="F12" s="359" t="s">
        <v>589</v>
      </c>
      <c r="G12" s="421" t="s">
        <v>604</v>
      </c>
      <c r="H12" s="364">
        <v>1</v>
      </c>
      <c r="I12" s="365">
        <v>45</v>
      </c>
      <c r="J12" s="366">
        <v>50</v>
      </c>
      <c r="K12" s="55">
        <f t="shared" si="0"/>
        <v>45</v>
      </c>
      <c r="L12" s="56">
        <f t="shared" si="0"/>
        <v>50</v>
      </c>
      <c r="M12" s="370">
        <v>1</v>
      </c>
      <c r="N12" s="371">
        <v>200</v>
      </c>
      <c r="O12" s="372">
        <v>1.1399999999999999</v>
      </c>
      <c r="P12" s="372">
        <v>9.51</v>
      </c>
      <c r="Q12" s="15">
        <f t="shared" si="1"/>
        <v>1.1399999999999999</v>
      </c>
      <c r="R12" s="57">
        <f t="shared" si="1"/>
        <v>9.51</v>
      </c>
      <c r="S12" s="376">
        <v>0.03</v>
      </c>
      <c r="T12" s="15">
        <f t="shared" si="2"/>
        <v>0.03</v>
      </c>
      <c r="U12" s="14" t="str">
        <f t="shared" si="3"/>
        <v/>
      </c>
      <c r="V12" s="366"/>
      <c r="W12" s="366"/>
      <c r="X12" s="221">
        <f t="shared" si="4"/>
        <v>0</v>
      </c>
      <c r="Y12" s="221">
        <f t="shared" si="4"/>
        <v>0</v>
      </c>
      <c r="Z12" s="354"/>
    </row>
    <row r="13" spans="2:28" ht="15" customHeight="1">
      <c r="B13" s="356" t="s">
        <v>391</v>
      </c>
      <c r="C13" s="357" t="s">
        <v>11</v>
      </c>
      <c r="D13" s="358"/>
      <c r="E13" s="357"/>
      <c r="F13" s="359" t="s">
        <v>589</v>
      </c>
      <c r="G13" s="421" t="s">
        <v>604</v>
      </c>
      <c r="H13" s="364">
        <v>1</v>
      </c>
      <c r="I13" s="365">
        <v>45</v>
      </c>
      <c r="J13" s="366">
        <v>50</v>
      </c>
      <c r="K13" s="55">
        <f t="shared" si="0"/>
        <v>45</v>
      </c>
      <c r="L13" s="56">
        <f t="shared" si="0"/>
        <v>50</v>
      </c>
      <c r="M13" s="370">
        <v>1</v>
      </c>
      <c r="N13" s="371">
        <v>200</v>
      </c>
      <c r="O13" s="372">
        <v>1.1399999999999999</v>
      </c>
      <c r="P13" s="372">
        <v>9.51</v>
      </c>
      <c r="Q13" s="15">
        <f t="shared" si="1"/>
        <v>1.1399999999999999</v>
      </c>
      <c r="R13" s="57">
        <f t="shared" si="1"/>
        <v>9.51</v>
      </c>
      <c r="S13" s="376">
        <v>0.03</v>
      </c>
      <c r="T13" s="15">
        <f t="shared" si="2"/>
        <v>0.03</v>
      </c>
      <c r="U13" s="14" t="str">
        <f t="shared" si="3"/>
        <v/>
      </c>
      <c r="V13" s="378"/>
      <c r="W13" s="366"/>
      <c r="X13" s="221">
        <f t="shared" si="4"/>
        <v>0</v>
      </c>
      <c r="Y13" s="221">
        <f t="shared" si="4"/>
        <v>0</v>
      </c>
      <c r="Z13" s="354"/>
    </row>
    <row r="14" spans="2:28" ht="15" customHeight="1">
      <c r="B14" s="356" t="s">
        <v>392</v>
      </c>
      <c r="C14" s="357" t="s">
        <v>11</v>
      </c>
      <c r="D14" s="358"/>
      <c r="E14" s="357"/>
      <c r="F14" s="359" t="s">
        <v>589</v>
      </c>
      <c r="G14" s="421" t="s">
        <v>604</v>
      </c>
      <c r="H14" s="364">
        <v>1</v>
      </c>
      <c r="I14" s="365">
        <v>45</v>
      </c>
      <c r="J14" s="366">
        <v>50</v>
      </c>
      <c r="K14" s="55">
        <f t="shared" si="0"/>
        <v>45</v>
      </c>
      <c r="L14" s="56">
        <f t="shared" si="0"/>
        <v>50</v>
      </c>
      <c r="M14" s="370">
        <v>1</v>
      </c>
      <c r="N14" s="371">
        <v>200</v>
      </c>
      <c r="O14" s="372">
        <v>1.1399999999999999</v>
      </c>
      <c r="P14" s="372">
        <v>9.51</v>
      </c>
      <c r="Q14" s="15">
        <f t="shared" si="1"/>
        <v>1.1399999999999999</v>
      </c>
      <c r="R14" s="57">
        <f t="shared" si="1"/>
        <v>9.51</v>
      </c>
      <c r="S14" s="376">
        <v>0.03</v>
      </c>
      <c r="T14" s="15">
        <f t="shared" si="2"/>
        <v>0.03</v>
      </c>
      <c r="U14" s="14" t="str">
        <f t="shared" si="3"/>
        <v/>
      </c>
      <c r="V14" s="378"/>
      <c r="W14" s="366"/>
      <c r="X14" s="221">
        <f t="shared" si="4"/>
        <v>0</v>
      </c>
      <c r="Y14" s="221">
        <f t="shared" si="4"/>
        <v>0</v>
      </c>
      <c r="Z14" s="354"/>
    </row>
    <row r="15" spans="2:28" ht="15" customHeight="1">
      <c r="B15" s="356" t="s">
        <v>393</v>
      </c>
      <c r="C15" s="357" t="s">
        <v>11</v>
      </c>
      <c r="D15" s="358"/>
      <c r="E15" s="357"/>
      <c r="F15" s="359" t="s">
        <v>589</v>
      </c>
      <c r="G15" s="421" t="s">
        <v>604</v>
      </c>
      <c r="H15" s="364">
        <v>1</v>
      </c>
      <c r="I15" s="365">
        <v>45</v>
      </c>
      <c r="J15" s="366">
        <v>50</v>
      </c>
      <c r="K15" s="55">
        <f t="shared" si="0"/>
        <v>45</v>
      </c>
      <c r="L15" s="56">
        <f t="shared" si="0"/>
        <v>50</v>
      </c>
      <c r="M15" s="370">
        <v>1</v>
      </c>
      <c r="N15" s="371">
        <v>200</v>
      </c>
      <c r="O15" s="372">
        <v>1.1399999999999999</v>
      </c>
      <c r="P15" s="372">
        <v>9.51</v>
      </c>
      <c r="Q15" s="15">
        <f t="shared" si="1"/>
        <v>1.1399999999999999</v>
      </c>
      <c r="R15" s="57">
        <f t="shared" si="1"/>
        <v>9.51</v>
      </c>
      <c r="S15" s="376">
        <v>0.03</v>
      </c>
      <c r="T15" s="15">
        <f t="shared" si="2"/>
        <v>0.03</v>
      </c>
      <c r="U15" s="14" t="str">
        <f t="shared" si="3"/>
        <v/>
      </c>
      <c r="V15" s="378"/>
      <c r="W15" s="366"/>
      <c r="X15" s="221">
        <f t="shared" si="4"/>
        <v>0</v>
      </c>
      <c r="Y15" s="221">
        <f t="shared" si="4"/>
        <v>0</v>
      </c>
      <c r="Z15" s="354"/>
    </row>
    <row r="16" spans="2:28" ht="15" customHeight="1">
      <c r="B16" s="356"/>
      <c r="C16" s="357"/>
      <c r="D16" s="358"/>
      <c r="E16" s="357"/>
      <c r="F16" s="359"/>
      <c r="G16" s="421"/>
      <c r="H16" s="364"/>
      <c r="I16" s="365"/>
      <c r="J16" s="366"/>
      <c r="K16" s="55">
        <f t="shared" si="0"/>
        <v>0</v>
      </c>
      <c r="L16" s="56">
        <f>$H16*J16</f>
        <v>0</v>
      </c>
      <c r="M16" s="370"/>
      <c r="N16" s="371"/>
      <c r="O16" s="372"/>
      <c r="P16" s="372"/>
      <c r="Q16" s="15">
        <f t="shared" si="1"/>
        <v>0</v>
      </c>
      <c r="R16" s="57">
        <f t="shared" si="1"/>
        <v>0</v>
      </c>
      <c r="S16" s="376"/>
      <c r="T16" s="15">
        <f t="shared" si="2"/>
        <v>0</v>
      </c>
      <c r="U16" s="14" t="str">
        <f t="shared" si="3"/>
        <v/>
      </c>
      <c r="V16" s="378"/>
      <c r="W16" s="366"/>
      <c r="X16" s="221">
        <f t="shared" si="4"/>
        <v>0</v>
      </c>
      <c r="Y16" s="221">
        <f t="shared" si="4"/>
        <v>0</v>
      </c>
      <c r="Z16" s="354"/>
    </row>
    <row r="17" spans="2:26" ht="15" customHeight="1">
      <c r="B17" s="356"/>
      <c r="C17" s="357"/>
      <c r="D17" s="358"/>
      <c r="E17" s="357"/>
      <c r="F17" s="359"/>
      <c r="G17" s="421"/>
      <c r="H17" s="364"/>
      <c r="I17" s="365"/>
      <c r="J17" s="366"/>
      <c r="K17" s="55">
        <f t="shared" si="0"/>
        <v>0</v>
      </c>
      <c r="L17" s="56">
        <f t="shared" si="0"/>
        <v>0</v>
      </c>
      <c r="M17" s="370"/>
      <c r="N17" s="371"/>
      <c r="O17" s="372"/>
      <c r="P17" s="372"/>
      <c r="Q17" s="15">
        <f t="shared" si="1"/>
        <v>0</v>
      </c>
      <c r="R17" s="57">
        <f t="shared" si="1"/>
        <v>0</v>
      </c>
      <c r="S17" s="376"/>
      <c r="T17" s="15">
        <f t="shared" si="2"/>
        <v>0</v>
      </c>
      <c r="U17" s="14" t="str">
        <f t="shared" si="3"/>
        <v/>
      </c>
      <c r="V17" s="378"/>
      <c r="W17" s="366"/>
      <c r="X17" s="221">
        <f t="shared" si="4"/>
        <v>0</v>
      </c>
      <c r="Y17" s="221">
        <f t="shared" si="4"/>
        <v>0</v>
      </c>
      <c r="Z17" s="354"/>
    </row>
    <row r="18" spans="2:26" ht="15" customHeight="1">
      <c r="B18" s="356"/>
      <c r="C18" s="357"/>
      <c r="D18" s="358"/>
      <c r="E18" s="357"/>
      <c r="F18" s="359"/>
      <c r="G18" s="421"/>
      <c r="H18" s="364"/>
      <c r="I18" s="365"/>
      <c r="J18" s="366"/>
      <c r="K18" s="55">
        <f t="shared" si="0"/>
        <v>0</v>
      </c>
      <c r="L18" s="56">
        <f t="shared" si="0"/>
        <v>0</v>
      </c>
      <c r="M18" s="370"/>
      <c r="N18" s="371"/>
      <c r="O18" s="372"/>
      <c r="P18" s="372"/>
      <c r="Q18" s="15">
        <f t="shared" si="1"/>
        <v>0</v>
      </c>
      <c r="R18" s="57">
        <f t="shared" si="1"/>
        <v>0</v>
      </c>
      <c r="S18" s="376"/>
      <c r="T18" s="15">
        <f t="shared" si="2"/>
        <v>0</v>
      </c>
      <c r="U18" s="14" t="str">
        <f t="shared" si="3"/>
        <v/>
      </c>
      <c r="V18" s="378"/>
      <c r="W18" s="366"/>
      <c r="X18" s="221">
        <f t="shared" si="4"/>
        <v>0</v>
      </c>
      <c r="Y18" s="221">
        <f t="shared" si="4"/>
        <v>0</v>
      </c>
      <c r="Z18" s="354"/>
    </row>
    <row r="19" spans="2:26" ht="15" customHeight="1">
      <c r="B19" s="356"/>
      <c r="C19" s="357"/>
      <c r="D19" s="358"/>
      <c r="E19" s="357"/>
      <c r="F19" s="359"/>
      <c r="G19" s="421"/>
      <c r="H19" s="364"/>
      <c r="I19" s="365"/>
      <c r="J19" s="366"/>
      <c r="K19" s="55">
        <f t="shared" si="0"/>
        <v>0</v>
      </c>
      <c r="L19" s="56">
        <f t="shared" si="0"/>
        <v>0</v>
      </c>
      <c r="M19" s="370"/>
      <c r="N19" s="371"/>
      <c r="O19" s="372"/>
      <c r="P19" s="372"/>
      <c r="Q19" s="15">
        <f t="shared" si="1"/>
        <v>0</v>
      </c>
      <c r="R19" s="57">
        <f t="shared" si="1"/>
        <v>0</v>
      </c>
      <c r="S19" s="376"/>
      <c r="T19" s="15">
        <f t="shared" si="2"/>
        <v>0</v>
      </c>
      <c r="U19" s="14" t="str">
        <f t="shared" si="3"/>
        <v/>
      </c>
      <c r="V19" s="378"/>
      <c r="W19" s="366"/>
      <c r="X19" s="221">
        <f t="shared" si="4"/>
        <v>0</v>
      </c>
      <c r="Y19" s="221">
        <f t="shared" si="4"/>
        <v>0</v>
      </c>
      <c r="Z19" s="354"/>
    </row>
    <row r="20" spans="2:26" ht="15" customHeight="1" thickBot="1">
      <c r="B20" s="360"/>
      <c r="C20" s="361"/>
      <c r="D20" s="362"/>
      <c r="E20" s="361"/>
      <c r="F20" s="363"/>
      <c r="G20" s="423"/>
      <c r="H20" s="367"/>
      <c r="I20" s="368"/>
      <c r="J20" s="369"/>
      <c r="K20" s="303">
        <f t="shared" si="0"/>
        <v>0</v>
      </c>
      <c r="L20" s="304">
        <f t="shared" si="0"/>
        <v>0</v>
      </c>
      <c r="M20" s="373"/>
      <c r="N20" s="374"/>
      <c r="O20" s="375"/>
      <c r="P20" s="375"/>
      <c r="Q20" s="305">
        <f t="shared" si="1"/>
        <v>0</v>
      </c>
      <c r="R20" s="306">
        <f t="shared" si="1"/>
        <v>0</v>
      </c>
      <c r="S20" s="377"/>
      <c r="T20" s="305">
        <f t="shared" si="2"/>
        <v>0</v>
      </c>
      <c r="U20" s="307" t="str">
        <f t="shared" si="3"/>
        <v/>
      </c>
      <c r="V20" s="379"/>
      <c r="W20" s="369"/>
      <c r="X20" s="308">
        <f t="shared" si="4"/>
        <v>0</v>
      </c>
      <c r="Y20" s="308">
        <f t="shared" si="4"/>
        <v>0</v>
      </c>
      <c r="Z20" s="355"/>
    </row>
    <row r="21" spans="2:26" ht="15" customHeight="1" thickTop="1" thickBot="1">
      <c r="B21" s="309" t="s">
        <v>10</v>
      </c>
      <c r="C21" s="310"/>
      <c r="D21" s="311"/>
      <c r="E21" s="312"/>
      <c r="F21" s="313"/>
      <c r="G21" s="314"/>
      <c r="H21" s="315">
        <f>SUM(H8:H20)</f>
        <v>10</v>
      </c>
      <c r="I21" s="316"/>
      <c r="J21" s="317"/>
      <c r="K21" s="318">
        <f>SUM(K8:K20)</f>
        <v>530</v>
      </c>
      <c r="L21" s="317">
        <f>SUM(L8:L20)</f>
        <v>590</v>
      </c>
      <c r="M21" s="319"/>
      <c r="N21" s="320"/>
      <c r="O21" s="321"/>
      <c r="P21" s="321"/>
      <c r="Q21" s="321">
        <f>SUM(Q8:Q20)</f>
        <v>12.720000000000002</v>
      </c>
      <c r="R21" s="322">
        <f>SUM(R8:R20)</f>
        <v>79.56</v>
      </c>
      <c r="S21" s="323"/>
      <c r="T21" s="321">
        <f>SUM(T8:T20)</f>
        <v>0.30000000000000004</v>
      </c>
      <c r="U21" s="324"/>
      <c r="V21" s="317"/>
      <c r="W21" s="325"/>
      <c r="X21" s="326">
        <f>SUM(X8:X20)</f>
        <v>2</v>
      </c>
      <c r="Y21" s="326">
        <f>SUM(Y8:Y20)</f>
        <v>0</v>
      </c>
      <c r="Z21" s="327"/>
    </row>
    <row r="22" spans="2:26" ht="15" customHeight="1">
      <c r="B22" s="380" t="s">
        <v>9</v>
      </c>
      <c r="C22" s="517" t="s">
        <v>590</v>
      </c>
      <c r="D22" s="518"/>
      <c r="E22" s="518"/>
      <c r="F22" s="518"/>
      <c r="G22" s="519"/>
      <c r="H22" s="382"/>
      <c r="I22" s="394"/>
      <c r="J22" s="385"/>
      <c r="K22" s="395"/>
      <c r="L22" s="385"/>
      <c r="M22" s="384"/>
      <c r="N22" s="387"/>
      <c r="O22" s="520"/>
      <c r="P22" s="521"/>
      <c r="Q22" s="520"/>
      <c r="R22" s="522"/>
      <c r="S22" s="390"/>
      <c r="T22" s="388"/>
      <c r="U22" s="391"/>
      <c r="V22" s="385"/>
      <c r="W22" s="385"/>
      <c r="X22" s="392"/>
      <c r="Y22" s="392"/>
      <c r="Z22" s="393"/>
    </row>
    <row r="23" spans="2:26" ht="15" customHeight="1">
      <c r="B23" s="356" t="s">
        <v>138</v>
      </c>
      <c r="C23" s="357" t="s">
        <v>8</v>
      </c>
      <c r="D23" s="358"/>
      <c r="E23" s="357"/>
      <c r="F23" s="359" t="s">
        <v>580</v>
      </c>
      <c r="G23" s="398" t="s">
        <v>613</v>
      </c>
      <c r="H23" s="364">
        <v>2</v>
      </c>
      <c r="I23" s="399">
        <v>9</v>
      </c>
      <c r="J23" s="378">
        <v>10</v>
      </c>
      <c r="K23" s="88">
        <f t="shared" ref="K23:L41" si="5">$H23*I23</f>
        <v>18</v>
      </c>
      <c r="L23" s="13">
        <f t="shared" si="5"/>
        <v>20</v>
      </c>
      <c r="M23" s="402">
        <v>1</v>
      </c>
      <c r="N23" s="371">
        <v>200</v>
      </c>
      <c r="O23" s="499">
        <v>0.05</v>
      </c>
      <c r="P23" s="500"/>
      <c r="Q23" s="504">
        <f>$H23*O23</f>
        <v>0.1</v>
      </c>
      <c r="R23" s="505"/>
      <c r="S23" s="376"/>
      <c r="T23" s="15">
        <f>$H23*S23</f>
        <v>0</v>
      </c>
      <c r="U23" s="14"/>
      <c r="V23" s="13"/>
      <c r="W23" s="56"/>
      <c r="X23" s="221"/>
      <c r="Y23" s="221"/>
      <c r="Z23" s="396"/>
    </row>
    <row r="24" spans="2:26" ht="15" customHeight="1">
      <c r="B24" s="356" t="s">
        <v>139</v>
      </c>
      <c r="C24" s="357" t="s">
        <v>8</v>
      </c>
      <c r="D24" s="358"/>
      <c r="E24" s="357"/>
      <c r="F24" s="359" t="s">
        <v>140</v>
      </c>
      <c r="G24" s="398" t="s">
        <v>369</v>
      </c>
      <c r="H24" s="364">
        <v>4</v>
      </c>
      <c r="I24" s="399">
        <v>9</v>
      </c>
      <c r="J24" s="378">
        <v>10</v>
      </c>
      <c r="K24" s="88">
        <f t="shared" si="5"/>
        <v>36</v>
      </c>
      <c r="L24" s="13">
        <f t="shared" si="5"/>
        <v>40</v>
      </c>
      <c r="M24" s="402">
        <v>1</v>
      </c>
      <c r="N24" s="371">
        <v>200</v>
      </c>
      <c r="O24" s="499">
        <v>5.5E-2</v>
      </c>
      <c r="P24" s="500"/>
      <c r="Q24" s="504">
        <f t="shared" ref="Q24:Q41" si="6">$H24*O24</f>
        <v>0.22</v>
      </c>
      <c r="R24" s="505"/>
      <c r="S24" s="376"/>
      <c r="T24" s="15">
        <f t="shared" ref="T24:T41" si="7">$H24*S24</f>
        <v>0</v>
      </c>
      <c r="U24" s="14"/>
      <c r="V24" s="13"/>
      <c r="W24" s="56"/>
      <c r="X24" s="221"/>
      <c r="Y24" s="221"/>
      <c r="Z24" s="396"/>
    </row>
    <row r="25" spans="2:26" ht="15" customHeight="1">
      <c r="B25" s="356" t="s">
        <v>141</v>
      </c>
      <c r="C25" s="357" t="s">
        <v>8</v>
      </c>
      <c r="D25" s="358"/>
      <c r="E25" s="357"/>
      <c r="F25" s="359" t="s">
        <v>581</v>
      </c>
      <c r="G25" s="398" t="s">
        <v>371</v>
      </c>
      <c r="H25" s="364">
        <v>1</v>
      </c>
      <c r="I25" s="399">
        <v>9</v>
      </c>
      <c r="J25" s="378">
        <v>10</v>
      </c>
      <c r="K25" s="88">
        <f t="shared" si="5"/>
        <v>9</v>
      </c>
      <c r="L25" s="13">
        <f t="shared" si="5"/>
        <v>10</v>
      </c>
      <c r="M25" s="402">
        <v>1</v>
      </c>
      <c r="N25" s="371">
        <v>200</v>
      </c>
      <c r="O25" s="499">
        <v>3.5000000000000003E-2</v>
      </c>
      <c r="P25" s="500"/>
      <c r="Q25" s="504">
        <f t="shared" si="6"/>
        <v>3.5000000000000003E-2</v>
      </c>
      <c r="R25" s="505"/>
      <c r="S25" s="376"/>
      <c r="T25" s="15">
        <f t="shared" si="7"/>
        <v>0</v>
      </c>
      <c r="U25" s="14"/>
      <c r="V25" s="13"/>
      <c r="W25" s="56"/>
      <c r="X25" s="221"/>
      <c r="Y25" s="221"/>
      <c r="Z25" s="396"/>
    </row>
    <row r="26" spans="2:26" ht="15" customHeight="1">
      <c r="B26" s="356" t="s">
        <v>575</v>
      </c>
      <c r="C26" s="357" t="s">
        <v>8</v>
      </c>
      <c r="D26" s="358"/>
      <c r="E26" s="357"/>
      <c r="F26" s="359" t="s">
        <v>578</v>
      </c>
      <c r="G26" s="398" t="s">
        <v>372</v>
      </c>
      <c r="H26" s="364">
        <v>2</v>
      </c>
      <c r="I26" s="399">
        <v>9</v>
      </c>
      <c r="J26" s="378">
        <v>10</v>
      </c>
      <c r="K26" s="88">
        <f t="shared" si="5"/>
        <v>18</v>
      </c>
      <c r="L26" s="13">
        <f t="shared" si="5"/>
        <v>20</v>
      </c>
      <c r="M26" s="402">
        <v>1</v>
      </c>
      <c r="N26" s="371">
        <v>200</v>
      </c>
      <c r="O26" s="499">
        <v>3.5000000000000003E-2</v>
      </c>
      <c r="P26" s="500"/>
      <c r="Q26" s="504">
        <f t="shared" si="6"/>
        <v>7.0000000000000007E-2</v>
      </c>
      <c r="R26" s="505"/>
      <c r="S26" s="376"/>
      <c r="T26" s="15">
        <f t="shared" si="7"/>
        <v>0</v>
      </c>
      <c r="U26" s="14"/>
      <c r="V26" s="13"/>
      <c r="W26" s="56"/>
      <c r="X26" s="221"/>
      <c r="Y26" s="221"/>
      <c r="Z26" s="396"/>
    </row>
    <row r="27" spans="2:26" ht="15" customHeight="1">
      <c r="B27" s="356" t="s">
        <v>576</v>
      </c>
      <c r="C27" s="357" t="s">
        <v>8</v>
      </c>
      <c r="D27" s="358"/>
      <c r="E27" s="357"/>
      <c r="F27" s="359" t="s">
        <v>582</v>
      </c>
      <c r="G27" s="398" t="s">
        <v>374</v>
      </c>
      <c r="H27" s="364">
        <v>1</v>
      </c>
      <c r="I27" s="399">
        <v>9</v>
      </c>
      <c r="J27" s="378">
        <v>10</v>
      </c>
      <c r="K27" s="88">
        <f t="shared" si="5"/>
        <v>9</v>
      </c>
      <c r="L27" s="13">
        <f t="shared" si="5"/>
        <v>10</v>
      </c>
      <c r="M27" s="402">
        <v>1</v>
      </c>
      <c r="N27" s="371">
        <v>200</v>
      </c>
      <c r="O27" s="499">
        <v>3.5000000000000003E-2</v>
      </c>
      <c r="P27" s="500"/>
      <c r="Q27" s="504">
        <f t="shared" si="6"/>
        <v>3.5000000000000003E-2</v>
      </c>
      <c r="R27" s="505"/>
      <c r="S27" s="376"/>
      <c r="T27" s="15">
        <f t="shared" si="7"/>
        <v>0</v>
      </c>
      <c r="U27" s="14"/>
      <c r="V27" s="13"/>
      <c r="W27" s="56"/>
      <c r="X27" s="221"/>
      <c r="Y27" s="221"/>
      <c r="Z27" s="396"/>
    </row>
    <row r="28" spans="2:26" ht="15" customHeight="1">
      <c r="B28" s="356" t="s">
        <v>577</v>
      </c>
      <c r="C28" s="357" t="s">
        <v>8</v>
      </c>
      <c r="D28" s="358"/>
      <c r="E28" s="357"/>
      <c r="F28" s="359" t="s">
        <v>583</v>
      </c>
      <c r="G28" s="398" t="s">
        <v>369</v>
      </c>
      <c r="H28" s="364">
        <v>2</v>
      </c>
      <c r="I28" s="399">
        <v>9</v>
      </c>
      <c r="J28" s="378">
        <v>10</v>
      </c>
      <c r="K28" s="88">
        <f t="shared" si="5"/>
        <v>18</v>
      </c>
      <c r="L28" s="13">
        <f t="shared" si="5"/>
        <v>20</v>
      </c>
      <c r="M28" s="402">
        <v>1</v>
      </c>
      <c r="N28" s="371">
        <v>200</v>
      </c>
      <c r="O28" s="499">
        <v>3.5000000000000003E-2</v>
      </c>
      <c r="P28" s="500"/>
      <c r="Q28" s="504">
        <f t="shared" si="6"/>
        <v>7.0000000000000007E-2</v>
      </c>
      <c r="R28" s="505"/>
      <c r="S28" s="376"/>
      <c r="T28" s="15">
        <f t="shared" si="7"/>
        <v>0</v>
      </c>
      <c r="U28" s="14"/>
      <c r="V28" s="13"/>
      <c r="W28" s="56"/>
      <c r="X28" s="221"/>
      <c r="Y28" s="221"/>
      <c r="Z28" s="396"/>
    </row>
    <row r="29" spans="2:26" ht="15" customHeight="1">
      <c r="B29" s="356" t="s">
        <v>579</v>
      </c>
      <c r="C29" s="357" t="s">
        <v>8</v>
      </c>
      <c r="D29" s="358"/>
      <c r="E29" s="357"/>
      <c r="F29" s="359" t="s">
        <v>585</v>
      </c>
      <c r="G29" s="398" t="s">
        <v>375</v>
      </c>
      <c r="H29" s="364">
        <v>1</v>
      </c>
      <c r="I29" s="399">
        <v>9</v>
      </c>
      <c r="J29" s="378">
        <v>10</v>
      </c>
      <c r="K29" s="88">
        <f t="shared" si="5"/>
        <v>9</v>
      </c>
      <c r="L29" s="13">
        <f t="shared" si="5"/>
        <v>10</v>
      </c>
      <c r="M29" s="402">
        <v>1</v>
      </c>
      <c r="N29" s="371">
        <v>200</v>
      </c>
      <c r="O29" s="499">
        <v>3.5000000000000003E-2</v>
      </c>
      <c r="P29" s="500"/>
      <c r="Q29" s="504">
        <f t="shared" si="6"/>
        <v>3.5000000000000003E-2</v>
      </c>
      <c r="R29" s="505"/>
      <c r="S29" s="376"/>
      <c r="T29" s="15">
        <f t="shared" si="7"/>
        <v>0</v>
      </c>
      <c r="U29" s="14"/>
      <c r="V29" s="13"/>
      <c r="W29" s="56"/>
      <c r="X29" s="221"/>
      <c r="Y29" s="221"/>
      <c r="Z29" s="396"/>
    </row>
    <row r="30" spans="2:26" ht="15" customHeight="1">
      <c r="B30" s="356" t="s">
        <v>586</v>
      </c>
      <c r="C30" s="357" t="s">
        <v>8</v>
      </c>
      <c r="D30" s="358"/>
      <c r="E30" s="357"/>
      <c r="F30" s="359" t="s">
        <v>584</v>
      </c>
      <c r="G30" s="398" t="s">
        <v>376</v>
      </c>
      <c r="H30" s="364">
        <v>4</v>
      </c>
      <c r="I30" s="399">
        <v>9</v>
      </c>
      <c r="J30" s="378">
        <v>10</v>
      </c>
      <c r="K30" s="88">
        <f t="shared" si="5"/>
        <v>36</v>
      </c>
      <c r="L30" s="13">
        <f t="shared" si="5"/>
        <v>40</v>
      </c>
      <c r="M30" s="402">
        <v>1</v>
      </c>
      <c r="N30" s="371">
        <v>200</v>
      </c>
      <c r="O30" s="499">
        <v>3.5000000000000003E-2</v>
      </c>
      <c r="P30" s="500"/>
      <c r="Q30" s="504">
        <f t="shared" si="6"/>
        <v>0.14000000000000001</v>
      </c>
      <c r="R30" s="505"/>
      <c r="S30" s="376"/>
      <c r="T30" s="15">
        <f t="shared" si="7"/>
        <v>0</v>
      </c>
      <c r="U30" s="14"/>
      <c r="V30" s="13"/>
      <c r="W30" s="56"/>
      <c r="X30" s="221"/>
      <c r="Y30" s="221"/>
      <c r="Z30" s="396"/>
    </row>
    <row r="31" spans="2:26" ht="15" customHeight="1">
      <c r="B31" s="356"/>
      <c r="C31" s="357"/>
      <c r="D31" s="358"/>
      <c r="E31" s="357"/>
      <c r="F31" s="359"/>
      <c r="G31" s="398"/>
      <c r="H31" s="364"/>
      <c r="I31" s="399"/>
      <c r="J31" s="378"/>
      <c r="K31" s="88">
        <f t="shared" si="5"/>
        <v>0</v>
      </c>
      <c r="L31" s="13">
        <f t="shared" si="5"/>
        <v>0</v>
      </c>
      <c r="M31" s="402"/>
      <c r="N31" s="371"/>
      <c r="O31" s="499"/>
      <c r="P31" s="500"/>
      <c r="Q31" s="504">
        <f t="shared" si="6"/>
        <v>0</v>
      </c>
      <c r="R31" s="505"/>
      <c r="S31" s="376"/>
      <c r="T31" s="15">
        <f t="shared" si="7"/>
        <v>0</v>
      </c>
      <c r="U31" s="14"/>
      <c r="V31" s="13"/>
      <c r="W31" s="56"/>
      <c r="X31" s="221"/>
      <c r="Y31" s="221"/>
      <c r="Z31" s="396"/>
    </row>
    <row r="32" spans="2:26" ht="15" customHeight="1">
      <c r="B32" s="356"/>
      <c r="C32" s="357"/>
      <c r="D32" s="358"/>
      <c r="E32" s="357"/>
      <c r="F32" s="359"/>
      <c r="G32" s="398"/>
      <c r="H32" s="364"/>
      <c r="I32" s="399"/>
      <c r="J32" s="378"/>
      <c r="K32" s="88">
        <f t="shared" si="5"/>
        <v>0</v>
      </c>
      <c r="L32" s="13">
        <f t="shared" si="5"/>
        <v>0</v>
      </c>
      <c r="M32" s="402"/>
      <c r="N32" s="371"/>
      <c r="O32" s="499"/>
      <c r="P32" s="500"/>
      <c r="Q32" s="504">
        <f t="shared" si="6"/>
        <v>0</v>
      </c>
      <c r="R32" s="505"/>
      <c r="S32" s="376"/>
      <c r="T32" s="15">
        <f t="shared" si="7"/>
        <v>0</v>
      </c>
      <c r="U32" s="14"/>
      <c r="V32" s="13"/>
      <c r="W32" s="56"/>
      <c r="X32" s="221"/>
      <c r="Y32" s="221"/>
      <c r="Z32" s="396"/>
    </row>
    <row r="33" spans="2:26" ht="15" customHeight="1">
      <c r="B33" s="356"/>
      <c r="C33" s="357"/>
      <c r="D33" s="358"/>
      <c r="E33" s="357"/>
      <c r="F33" s="359"/>
      <c r="G33" s="398"/>
      <c r="H33" s="364"/>
      <c r="I33" s="399"/>
      <c r="J33" s="378"/>
      <c r="K33" s="88">
        <f t="shared" si="5"/>
        <v>0</v>
      </c>
      <c r="L33" s="13">
        <f t="shared" si="5"/>
        <v>0</v>
      </c>
      <c r="M33" s="402"/>
      <c r="N33" s="371"/>
      <c r="O33" s="499"/>
      <c r="P33" s="500"/>
      <c r="Q33" s="504">
        <f t="shared" si="6"/>
        <v>0</v>
      </c>
      <c r="R33" s="505"/>
      <c r="S33" s="376"/>
      <c r="T33" s="15">
        <f t="shared" si="7"/>
        <v>0</v>
      </c>
      <c r="U33" s="14"/>
      <c r="V33" s="13"/>
      <c r="W33" s="56"/>
      <c r="X33" s="221"/>
      <c r="Y33" s="221"/>
      <c r="Z33" s="396"/>
    </row>
    <row r="34" spans="2:26" ht="15" customHeight="1">
      <c r="B34" s="356"/>
      <c r="C34" s="357"/>
      <c r="D34" s="358"/>
      <c r="E34" s="357"/>
      <c r="F34" s="359"/>
      <c r="G34" s="398"/>
      <c r="H34" s="364"/>
      <c r="I34" s="399"/>
      <c r="J34" s="378"/>
      <c r="K34" s="88">
        <f t="shared" si="5"/>
        <v>0</v>
      </c>
      <c r="L34" s="13">
        <f t="shared" si="5"/>
        <v>0</v>
      </c>
      <c r="M34" s="402"/>
      <c r="N34" s="371"/>
      <c r="O34" s="499"/>
      <c r="P34" s="500"/>
      <c r="Q34" s="504">
        <f t="shared" si="6"/>
        <v>0</v>
      </c>
      <c r="R34" s="505"/>
      <c r="S34" s="376"/>
      <c r="T34" s="15">
        <f t="shared" si="7"/>
        <v>0</v>
      </c>
      <c r="U34" s="14"/>
      <c r="V34" s="13"/>
      <c r="W34" s="56"/>
      <c r="X34" s="221"/>
      <c r="Y34" s="221"/>
      <c r="Z34" s="396"/>
    </row>
    <row r="35" spans="2:26" ht="15" customHeight="1">
      <c r="B35" s="356"/>
      <c r="C35" s="357"/>
      <c r="D35" s="358"/>
      <c r="E35" s="357"/>
      <c r="F35" s="359"/>
      <c r="G35" s="398"/>
      <c r="H35" s="364"/>
      <c r="I35" s="399"/>
      <c r="J35" s="378"/>
      <c r="K35" s="88">
        <f t="shared" si="5"/>
        <v>0</v>
      </c>
      <c r="L35" s="13">
        <f t="shared" si="5"/>
        <v>0</v>
      </c>
      <c r="M35" s="402"/>
      <c r="N35" s="371"/>
      <c r="O35" s="499"/>
      <c r="P35" s="500"/>
      <c r="Q35" s="504">
        <f t="shared" si="6"/>
        <v>0</v>
      </c>
      <c r="R35" s="505"/>
      <c r="S35" s="376"/>
      <c r="T35" s="15">
        <f t="shared" si="7"/>
        <v>0</v>
      </c>
      <c r="U35" s="14"/>
      <c r="V35" s="13"/>
      <c r="W35" s="56"/>
      <c r="X35" s="221"/>
      <c r="Y35" s="221"/>
      <c r="Z35" s="396"/>
    </row>
    <row r="36" spans="2:26" ht="15" customHeight="1">
      <c r="B36" s="356"/>
      <c r="C36" s="357"/>
      <c r="D36" s="358"/>
      <c r="E36" s="357"/>
      <c r="F36" s="359"/>
      <c r="G36" s="398"/>
      <c r="H36" s="364"/>
      <c r="I36" s="399"/>
      <c r="J36" s="378"/>
      <c r="K36" s="88">
        <f t="shared" si="5"/>
        <v>0</v>
      </c>
      <c r="L36" s="13">
        <f t="shared" si="5"/>
        <v>0</v>
      </c>
      <c r="M36" s="402"/>
      <c r="N36" s="371"/>
      <c r="O36" s="499"/>
      <c r="P36" s="500"/>
      <c r="Q36" s="504">
        <f t="shared" si="6"/>
        <v>0</v>
      </c>
      <c r="R36" s="505"/>
      <c r="S36" s="376"/>
      <c r="T36" s="15">
        <f t="shared" si="7"/>
        <v>0</v>
      </c>
      <c r="U36" s="14"/>
      <c r="V36" s="13"/>
      <c r="W36" s="56"/>
      <c r="X36" s="221"/>
      <c r="Y36" s="221"/>
      <c r="Z36" s="396"/>
    </row>
    <row r="37" spans="2:26" ht="15" customHeight="1">
      <c r="B37" s="356"/>
      <c r="C37" s="357"/>
      <c r="D37" s="358"/>
      <c r="E37" s="357"/>
      <c r="F37" s="359"/>
      <c r="G37" s="398"/>
      <c r="H37" s="364"/>
      <c r="I37" s="399"/>
      <c r="J37" s="378"/>
      <c r="K37" s="88">
        <f t="shared" si="5"/>
        <v>0</v>
      </c>
      <c r="L37" s="13">
        <f t="shared" si="5"/>
        <v>0</v>
      </c>
      <c r="M37" s="402"/>
      <c r="N37" s="371"/>
      <c r="O37" s="499"/>
      <c r="P37" s="500"/>
      <c r="Q37" s="504">
        <f t="shared" si="6"/>
        <v>0</v>
      </c>
      <c r="R37" s="505"/>
      <c r="S37" s="376"/>
      <c r="T37" s="15">
        <f t="shared" si="7"/>
        <v>0</v>
      </c>
      <c r="U37" s="14"/>
      <c r="V37" s="13"/>
      <c r="W37" s="56"/>
      <c r="X37" s="221"/>
      <c r="Y37" s="221"/>
      <c r="Z37" s="396"/>
    </row>
    <row r="38" spans="2:26" ht="15" customHeight="1">
      <c r="B38" s="356"/>
      <c r="C38" s="357"/>
      <c r="D38" s="358"/>
      <c r="E38" s="357"/>
      <c r="F38" s="359"/>
      <c r="G38" s="398"/>
      <c r="H38" s="364"/>
      <c r="I38" s="399"/>
      <c r="J38" s="378"/>
      <c r="K38" s="88">
        <f t="shared" si="5"/>
        <v>0</v>
      </c>
      <c r="L38" s="13">
        <f t="shared" si="5"/>
        <v>0</v>
      </c>
      <c r="M38" s="402"/>
      <c r="N38" s="371"/>
      <c r="O38" s="499"/>
      <c r="P38" s="500"/>
      <c r="Q38" s="504">
        <f t="shared" si="6"/>
        <v>0</v>
      </c>
      <c r="R38" s="505"/>
      <c r="S38" s="376"/>
      <c r="T38" s="15">
        <f t="shared" si="7"/>
        <v>0</v>
      </c>
      <c r="U38" s="14"/>
      <c r="V38" s="13"/>
      <c r="W38" s="56"/>
      <c r="X38" s="221"/>
      <c r="Y38" s="221"/>
      <c r="Z38" s="396"/>
    </row>
    <row r="39" spans="2:26" ht="15" customHeight="1">
      <c r="B39" s="356"/>
      <c r="C39" s="357"/>
      <c r="D39" s="358"/>
      <c r="E39" s="357"/>
      <c r="F39" s="359"/>
      <c r="G39" s="398"/>
      <c r="H39" s="364"/>
      <c r="I39" s="399"/>
      <c r="J39" s="378"/>
      <c r="K39" s="88">
        <f t="shared" si="5"/>
        <v>0</v>
      </c>
      <c r="L39" s="13">
        <f t="shared" si="5"/>
        <v>0</v>
      </c>
      <c r="M39" s="402"/>
      <c r="N39" s="371"/>
      <c r="O39" s="499"/>
      <c r="P39" s="500"/>
      <c r="Q39" s="504">
        <f t="shared" si="6"/>
        <v>0</v>
      </c>
      <c r="R39" s="505"/>
      <c r="S39" s="376"/>
      <c r="T39" s="15">
        <f t="shared" si="7"/>
        <v>0</v>
      </c>
      <c r="U39" s="14"/>
      <c r="V39" s="13"/>
      <c r="W39" s="56"/>
      <c r="X39" s="221"/>
      <c r="Y39" s="221"/>
      <c r="Z39" s="396"/>
    </row>
    <row r="40" spans="2:26" ht="15" customHeight="1">
      <c r="B40" s="424" t="s">
        <v>592</v>
      </c>
      <c r="C40" s="357"/>
      <c r="D40" s="358"/>
      <c r="E40" s="357"/>
      <c r="F40" s="359"/>
      <c r="G40" s="398"/>
      <c r="H40" s="364"/>
      <c r="I40" s="399"/>
      <c r="J40" s="378"/>
      <c r="K40" s="88">
        <f t="shared" si="5"/>
        <v>0</v>
      </c>
      <c r="L40" s="13">
        <f t="shared" si="5"/>
        <v>0</v>
      </c>
      <c r="M40" s="402"/>
      <c r="N40" s="371"/>
      <c r="O40" s="499"/>
      <c r="P40" s="500"/>
      <c r="Q40" s="504">
        <f t="shared" si="6"/>
        <v>0</v>
      </c>
      <c r="R40" s="505"/>
      <c r="S40" s="376"/>
      <c r="T40" s="15">
        <f t="shared" si="7"/>
        <v>0</v>
      </c>
      <c r="U40" s="14"/>
      <c r="V40" s="13"/>
      <c r="W40" s="56"/>
      <c r="X40" s="221"/>
      <c r="Y40" s="221"/>
      <c r="Z40" s="396"/>
    </row>
    <row r="41" spans="2:26" ht="15" customHeight="1" thickBot="1">
      <c r="B41" s="360"/>
      <c r="C41" s="361"/>
      <c r="D41" s="362"/>
      <c r="E41" s="361"/>
      <c r="F41" s="363"/>
      <c r="G41" s="400"/>
      <c r="H41" s="367"/>
      <c r="I41" s="401"/>
      <c r="J41" s="379"/>
      <c r="K41" s="328">
        <f t="shared" si="5"/>
        <v>0</v>
      </c>
      <c r="L41" s="329">
        <f t="shared" si="5"/>
        <v>0</v>
      </c>
      <c r="M41" s="403"/>
      <c r="N41" s="374"/>
      <c r="O41" s="506"/>
      <c r="P41" s="507"/>
      <c r="Q41" s="508">
        <f t="shared" si="6"/>
        <v>0</v>
      </c>
      <c r="R41" s="509"/>
      <c r="S41" s="377"/>
      <c r="T41" s="305">
        <f t="shared" si="7"/>
        <v>0</v>
      </c>
      <c r="U41" s="307"/>
      <c r="V41" s="329"/>
      <c r="W41" s="304"/>
      <c r="X41" s="308"/>
      <c r="Y41" s="308"/>
      <c r="Z41" s="397"/>
    </row>
    <row r="42" spans="2:26" ht="15" customHeight="1" thickTop="1">
      <c r="B42" s="309" t="s">
        <v>7</v>
      </c>
      <c r="C42" s="310"/>
      <c r="D42" s="311"/>
      <c r="E42" s="312"/>
      <c r="F42" s="313"/>
      <c r="G42" s="314"/>
      <c r="H42" s="315">
        <f>SUM(H23:H41)</f>
        <v>17</v>
      </c>
      <c r="I42" s="316"/>
      <c r="J42" s="317"/>
      <c r="K42" s="318">
        <f>SUM(K23:K41)</f>
        <v>153</v>
      </c>
      <c r="L42" s="317">
        <f>SUM(L23:L41)</f>
        <v>170</v>
      </c>
      <c r="M42" s="330"/>
      <c r="N42" s="320"/>
      <c r="O42" s="510"/>
      <c r="P42" s="511"/>
      <c r="Q42" s="510">
        <f>SUM(Q23:R41)</f>
        <v>0.70500000000000007</v>
      </c>
      <c r="R42" s="512"/>
      <c r="S42" s="323"/>
      <c r="T42" s="321">
        <f>SUM(T23:T41)</f>
        <v>0</v>
      </c>
      <c r="U42" s="324"/>
      <c r="V42" s="317"/>
      <c r="W42" s="325"/>
      <c r="X42" s="326"/>
      <c r="Y42" s="326"/>
      <c r="Z42" s="331"/>
    </row>
    <row r="43" spans="2:26" ht="15" customHeight="1">
      <c r="B43" s="404" t="s">
        <v>6</v>
      </c>
      <c r="C43" s="405"/>
      <c r="D43" s="406"/>
      <c r="E43" s="405"/>
      <c r="F43" s="406"/>
      <c r="G43" s="407"/>
      <c r="H43" s="406"/>
      <c r="I43" s="408"/>
      <c r="J43" s="409"/>
      <c r="K43" s="410"/>
      <c r="L43" s="409"/>
      <c r="M43" s="408"/>
      <c r="N43" s="411"/>
      <c r="O43" s="412"/>
      <c r="P43" s="412"/>
      <c r="Q43" s="412"/>
      <c r="R43" s="413"/>
      <c r="S43" s="414"/>
      <c r="T43" s="412"/>
      <c r="U43" s="415"/>
      <c r="V43" s="409"/>
      <c r="W43" s="409"/>
      <c r="X43" s="416"/>
      <c r="Y43" s="416"/>
      <c r="Z43" s="417" t="s">
        <v>5</v>
      </c>
    </row>
    <row r="44" spans="2:26" ht="15" customHeight="1">
      <c r="B44" s="356"/>
      <c r="C44" s="357" t="s">
        <v>587</v>
      </c>
      <c r="D44" s="420"/>
      <c r="E44" s="357"/>
      <c r="F44" s="359"/>
      <c r="G44" s="421" t="s">
        <v>369</v>
      </c>
      <c r="H44" s="364">
        <v>1</v>
      </c>
      <c r="I44" s="418"/>
      <c r="J44" s="366"/>
      <c r="K44" s="242">
        <f t="shared" ref="K44:L49" si="8">$H44*I44</f>
        <v>0</v>
      </c>
      <c r="L44" s="56">
        <f t="shared" si="8"/>
        <v>0</v>
      </c>
      <c r="M44" s="418"/>
      <c r="N44" s="371"/>
      <c r="O44" s="372">
        <v>0.2</v>
      </c>
      <c r="P44" s="372">
        <v>0.2</v>
      </c>
      <c r="Q44" s="15">
        <f>$H44*O44</f>
        <v>0.2</v>
      </c>
      <c r="R44" s="57">
        <f>$H44*P44</f>
        <v>0.2</v>
      </c>
      <c r="S44" s="376"/>
      <c r="T44" s="15">
        <f t="shared" ref="T44:T49" si="9">$H44*S44</f>
        <v>0</v>
      </c>
      <c r="U44" s="14"/>
      <c r="V44" s="13"/>
      <c r="W44" s="56"/>
      <c r="X44" s="221"/>
      <c r="Y44" s="221"/>
      <c r="Z44" s="354"/>
    </row>
    <row r="45" spans="2:26" ht="15" customHeight="1">
      <c r="B45" s="356"/>
      <c r="C45" s="357" t="s">
        <v>587</v>
      </c>
      <c r="D45" s="420"/>
      <c r="E45" s="357"/>
      <c r="F45" s="359"/>
      <c r="G45" s="421" t="s">
        <v>376</v>
      </c>
      <c r="H45" s="364">
        <v>1</v>
      </c>
      <c r="I45" s="418"/>
      <c r="J45" s="366"/>
      <c r="K45" s="242">
        <f t="shared" si="8"/>
        <v>0</v>
      </c>
      <c r="L45" s="56">
        <f t="shared" si="8"/>
        <v>0</v>
      </c>
      <c r="M45" s="418"/>
      <c r="N45" s="371"/>
      <c r="O45" s="372">
        <v>0.1</v>
      </c>
      <c r="P45" s="372">
        <v>0.1</v>
      </c>
      <c r="Q45" s="15">
        <f t="shared" ref="Q45:R49" si="10">$H45*O45</f>
        <v>0.1</v>
      </c>
      <c r="R45" s="57">
        <f t="shared" si="10"/>
        <v>0.1</v>
      </c>
      <c r="S45" s="376"/>
      <c r="T45" s="15">
        <f t="shared" si="9"/>
        <v>0</v>
      </c>
      <c r="U45" s="14"/>
      <c r="V45" s="13"/>
      <c r="W45" s="56"/>
      <c r="X45" s="221"/>
      <c r="Y45" s="221"/>
      <c r="Z45" s="354"/>
    </row>
    <row r="46" spans="2:26" ht="15" customHeight="1">
      <c r="B46" s="356"/>
      <c r="C46" s="357"/>
      <c r="D46" s="420"/>
      <c r="E46" s="357"/>
      <c r="F46" s="359"/>
      <c r="G46" s="421"/>
      <c r="H46" s="364"/>
      <c r="I46" s="418"/>
      <c r="J46" s="366"/>
      <c r="K46" s="242">
        <f t="shared" si="8"/>
        <v>0</v>
      </c>
      <c r="L46" s="56">
        <f t="shared" si="8"/>
        <v>0</v>
      </c>
      <c r="M46" s="418"/>
      <c r="N46" s="371"/>
      <c r="O46" s="372"/>
      <c r="P46" s="372"/>
      <c r="Q46" s="15">
        <f t="shared" si="10"/>
        <v>0</v>
      </c>
      <c r="R46" s="57">
        <f t="shared" si="10"/>
        <v>0</v>
      </c>
      <c r="S46" s="376"/>
      <c r="T46" s="15">
        <f t="shared" si="9"/>
        <v>0</v>
      </c>
      <c r="U46" s="14"/>
      <c r="V46" s="13"/>
      <c r="W46" s="56"/>
      <c r="X46" s="221"/>
      <c r="Y46" s="221"/>
      <c r="Z46" s="354"/>
    </row>
    <row r="47" spans="2:26" ht="15" customHeight="1">
      <c r="B47" s="356"/>
      <c r="C47" s="357"/>
      <c r="D47" s="420"/>
      <c r="E47" s="357"/>
      <c r="F47" s="359"/>
      <c r="G47" s="421"/>
      <c r="H47" s="364"/>
      <c r="I47" s="418"/>
      <c r="J47" s="366"/>
      <c r="K47" s="242">
        <f t="shared" si="8"/>
        <v>0</v>
      </c>
      <c r="L47" s="56">
        <f t="shared" si="8"/>
        <v>0</v>
      </c>
      <c r="M47" s="418"/>
      <c r="N47" s="371"/>
      <c r="O47" s="372"/>
      <c r="P47" s="372"/>
      <c r="Q47" s="15">
        <f t="shared" si="10"/>
        <v>0</v>
      </c>
      <c r="R47" s="57">
        <f t="shared" si="10"/>
        <v>0</v>
      </c>
      <c r="S47" s="376"/>
      <c r="T47" s="15">
        <f t="shared" si="9"/>
        <v>0</v>
      </c>
      <c r="U47" s="14"/>
      <c r="V47" s="13"/>
      <c r="W47" s="56"/>
      <c r="X47" s="221"/>
      <c r="Y47" s="221"/>
      <c r="Z47" s="354"/>
    </row>
    <row r="48" spans="2:26" ht="15" customHeight="1">
      <c r="B48" s="356"/>
      <c r="C48" s="357"/>
      <c r="D48" s="420"/>
      <c r="E48" s="357"/>
      <c r="F48" s="359"/>
      <c r="G48" s="421"/>
      <c r="H48" s="364"/>
      <c r="I48" s="418"/>
      <c r="J48" s="366"/>
      <c r="K48" s="242">
        <f t="shared" si="8"/>
        <v>0</v>
      </c>
      <c r="L48" s="56">
        <f t="shared" si="8"/>
        <v>0</v>
      </c>
      <c r="M48" s="418"/>
      <c r="N48" s="371"/>
      <c r="O48" s="372"/>
      <c r="P48" s="372"/>
      <c r="Q48" s="15">
        <f t="shared" si="10"/>
        <v>0</v>
      </c>
      <c r="R48" s="57">
        <f t="shared" si="10"/>
        <v>0</v>
      </c>
      <c r="S48" s="376"/>
      <c r="T48" s="15">
        <f t="shared" si="9"/>
        <v>0</v>
      </c>
      <c r="U48" s="14"/>
      <c r="V48" s="13"/>
      <c r="W48" s="56"/>
      <c r="X48" s="221"/>
      <c r="Y48" s="221"/>
      <c r="Z48" s="354"/>
    </row>
    <row r="49" spans="2:28" ht="15" customHeight="1" thickBot="1">
      <c r="B49" s="360"/>
      <c r="C49" s="361"/>
      <c r="D49" s="422"/>
      <c r="E49" s="361"/>
      <c r="F49" s="363"/>
      <c r="G49" s="423"/>
      <c r="H49" s="367"/>
      <c r="I49" s="419"/>
      <c r="J49" s="369"/>
      <c r="K49" s="332">
        <f t="shared" si="8"/>
        <v>0</v>
      </c>
      <c r="L49" s="304">
        <f t="shared" si="8"/>
        <v>0</v>
      </c>
      <c r="M49" s="419"/>
      <c r="N49" s="374"/>
      <c r="O49" s="375"/>
      <c r="P49" s="375"/>
      <c r="Q49" s="305">
        <f t="shared" si="10"/>
        <v>0</v>
      </c>
      <c r="R49" s="306">
        <f t="shared" si="10"/>
        <v>0</v>
      </c>
      <c r="S49" s="377"/>
      <c r="T49" s="305">
        <f t="shared" si="9"/>
        <v>0</v>
      </c>
      <c r="U49" s="307"/>
      <c r="V49" s="329"/>
      <c r="W49" s="304"/>
      <c r="X49" s="308"/>
      <c r="Y49" s="308"/>
      <c r="Z49" s="355"/>
    </row>
    <row r="50" spans="2:28" ht="15" customHeight="1" thickTop="1" thickBot="1">
      <c r="B50" s="309" t="s">
        <v>4</v>
      </c>
      <c r="C50" s="310"/>
      <c r="D50" s="333"/>
      <c r="E50" s="312"/>
      <c r="F50" s="313"/>
      <c r="G50" s="314"/>
      <c r="H50" s="315">
        <f>SUM(H44:H49)</f>
        <v>2</v>
      </c>
      <c r="I50" s="334"/>
      <c r="J50" s="317"/>
      <c r="K50" s="335">
        <f>SUM(K44:K49)</f>
        <v>0</v>
      </c>
      <c r="L50" s="317">
        <f>SUM(L44:L49)</f>
        <v>0</v>
      </c>
      <c r="M50" s="330"/>
      <c r="N50" s="320"/>
      <c r="O50" s="321"/>
      <c r="P50" s="321"/>
      <c r="Q50" s="321">
        <f>SUM(Q44:Q49)</f>
        <v>0.30000000000000004</v>
      </c>
      <c r="R50" s="322">
        <f>SUM(R44:R49)</f>
        <v>0.30000000000000004</v>
      </c>
      <c r="S50" s="323"/>
      <c r="T50" s="321">
        <f>SUM(T44:T49)</f>
        <v>0</v>
      </c>
      <c r="U50" s="324"/>
      <c r="V50" s="317"/>
      <c r="W50" s="325"/>
      <c r="X50" s="326"/>
      <c r="Y50" s="326"/>
      <c r="Z50" s="327"/>
    </row>
    <row r="51" spans="2:28" ht="15" customHeight="1" thickBot="1">
      <c r="B51" s="100" t="s">
        <v>1</v>
      </c>
      <c r="C51" s="101"/>
      <c r="D51" s="102"/>
      <c r="E51" s="103"/>
      <c r="F51" s="104"/>
      <c r="G51" s="105"/>
      <c r="H51" s="106"/>
      <c r="I51" s="107"/>
      <c r="J51" s="108"/>
      <c r="K51" s="109"/>
      <c r="L51" s="108"/>
      <c r="M51" s="110"/>
      <c r="N51" s="111"/>
      <c r="O51" s="112"/>
      <c r="P51" s="112"/>
      <c r="Q51" s="112">
        <f>Q21+Q42+Q50</f>
        <v>13.725000000000003</v>
      </c>
      <c r="R51" s="245">
        <f>R21+Q42+R50</f>
        <v>80.564999999999998</v>
      </c>
      <c r="S51" s="113"/>
      <c r="T51" s="112">
        <f>T21+T42+T50</f>
        <v>0.30000000000000004</v>
      </c>
      <c r="U51" s="114"/>
      <c r="V51" s="108"/>
      <c r="W51" s="115"/>
      <c r="X51" s="246">
        <f>X21</f>
        <v>2</v>
      </c>
      <c r="Y51" s="246">
        <f>Y21</f>
        <v>0</v>
      </c>
      <c r="Z51" s="116"/>
    </row>
    <row r="52" spans="2:28" ht="15" customHeight="1">
      <c r="B52" s="223"/>
      <c r="C52" s="223"/>
      <c r="D52" s="117"/>
      <c r="E52" s="118"/>
      <c r="F52" s="223"/>
      <c r="G52" s="119"/>
      <c r="H52" s="120"/>
      <c r="I52" s="223"/>
      <c r="J52" s="121"/>
      <c r="K52" s="223"/>
      <c r="L52" s="121"/>
      <c r="M52" s="122"/>
      <c r="N52" s="120"/>
      <c r="O52" s="123"/>
      <c r="P52" s="123"/>
      <c r="Q52" s="123"/>
      <c r="R52" s="123"/>
      <c r="S52" s="123"/>
      <c r="T52" s="123"/>
      <c r="U52" s="124"/>
      <c r="V52" s="121"/>
      <c r="W52" s="125"/>
      <c r="X52" s="123"/>
      <c r="Y52" s="123"/>
      <c r="Z52" s="120"/>
    </row>
    <row r="53" spans="2:28" ht="15" customHeight="1">
      <c r="B53" s="222" t="s">
        <v>368</v>
      </c>
      <c r="C53" s="223"/>
      <c r="D53" s="117"/>
      <c r="E53" s="118"/>
      <c r="F53" s="223"/>
      <c r="G53" s="119"/>
      <c r="H53" s="120"/>
      <c r="I53" s="223"/>
      <c r="J53" s="121"/>
      <c r="K53" s="223"/>
      <c r="L53" s="121"/>
      <c r="M53" s="122"/>
      <c r="N53" s="120"/>
      <c r="O53" s="123"/>
      <c r="P53" s="123"/>
      <c r="Q53" s="123"/>
      <c r="R53" s="123"/>
      <c r="S53" s="123"/>
      <c r="T53" s="123"/>
      <c r="U53" s="124"/>
      <c r="V53" s="121"/>
      <c r="W53" s="125"/>
      <c r="X53" s="123"/>
      <c r="Y53" s="123"/>
      <c r="Z53" s="120"/>
    </row>
    <row r="54" spans="2:28" ht="15" customHeight="1">
      <c r="B54" s="220" t="s">
        <v>362</v>
      </c>
      <c r="C54" s="223"/>
      <c r="D54" s="117"/>
      <c r="E54" s="118"/>
      <c r="F54" s="223"/>
      <c r="G54" s="119"/>
      <c r="H54" s="120"/>
      <c r="I54" s="223"/>
      <c r="J54" s="121"/>
      <c r="K54" s="223"/>
      <c r="L54" s="121"/>
      <c r="M54" s="122"/>
      <c r="N54" s="120"/>
      <c r="O54" s="123"/>
      <c r="P54" s="123"/>
      <c r="Q54" s="123"/>
      <c r="R54" s="123"/>
      <c r="S54" s="123"/>
      <c r="T54" s="123"/>
      <c r="U54" s="124"/>
      <c r="V54" s="121"/>
      <c r="W54" s="125"/>
      <c r="X54" s="123"/>
      <c r="Y54" s="123"/>
      <c r="Z54" s="120"/>
    </row>
    <row r="55" spans="2:28" ht="15" customHeight="1">
      <c r="B55" s="220" t="s">
        <v>594</v>
      </c>
      <c r="C55" s="223"/>
      <c r="D55" s="117"/>
      <c r="E55" s="118"/>
      <c r="F55" s="223"/>
      <c r="G55" s="119"/>
      <c r="H55" s="120"/>
      <c r="I55" s="223"/>
      <c r="J55" s="121"/>
      <c r="K55" s="223"/>
      <c r="L55" s="121"/>
      <c r="M55" s="122"/>
      <c r="N55" s="120"/>
      <c r="O55" s="123"/>
      <c r="P55" s="123"/>
      <c r="Q55" s="123"/>
      <c r="R55" s="123"/>
      <c r="S55" s="123"/>
      <c r="T55" s="123"/>
      <c r="U55" s="124"/>
      <c r="V55" s="121"/>
      <c r="W55" s="125"/>
      <c r="X55" s="123"/>
      <c r="Y55" s="123"/>
      <c r="Z55" s="120"/>
    </row>
    <row r="56" spans="2:28" ht="15" customHeight="1">
      <c r="B56" s="220" t="s">
        <v>364</v>
      </c>
      <c r="C56" s="223"/>
      <c r="D56" s="117"/>
      <c r="E56" s="118"/>
      <c r="F56" s="223"/>
      <c r="G56" s="119"/>
      <c r="H56" s="120"/>
      <c r="I56" s="223"/>
      <c r="J56" s="121"/>
      <c r="K56" s="223"/>
      <c r="L56" s="121"/>
      <c r="M56" s="122"/>
      <c r="N56" s="120"/>
      <c r="O56" s="123"/>
      <c r="P56" s="123"/>
      <c r="Q56" s="123"/>
      <c r="R56" s="123"/>
      <c r="S56" s="123"/>
      <c r="T56" s="123"/>
      <c r="U56" s="124"/>
      <c r="V56" s="121"/>
      <c r="W56" s="125"/>
      <c r="X56" s="123"/>
      <c r="Y56" s="123"/>
      <c r="Z56" s="120"/>
    </row>
    <row r="57" spans="2:28" ht="15" customHeight="1">
      <c r="B57" s="4" t="s">
        <v>365</v>
      </c>
      <c r="C57" s="12"/>
      <c r="D57" s="6"/>
      <c r="E57" s="6"/>
      <c r="F57" s="12"/>
      <c r="G57" s="126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6"/>
      <c r="T57" s="6"/>
      <c r="U57" s="11"/>
      <c r="V57" s="6"/>
      <c r="W57" s="6"/>
      <c r="X57" s="6"/>
      <c r="Y57" s="6"/>
      <c r="Z57" s="6"/>
    </row>
    <row r="58" spans="2:28" s="1" customFormat="1" ht="15" customHeight="1">
      <c r="B58" s="9" t="s">
        <v>366</v>
      </c>
      <c r="D58" s="7"/>
      <c r="E58" s="7"/>
      <c r="G58" s="11"/>
      <c r="S58" s="7"/>
      <c r="T58" s="7"/>
      <c r="U58" s="8"/>
      <c r="V58" s="7"/>
      <c r="W58" s="7"/>
      <c r="X58" s="7"/>
      <c r="Y58" s="7"/>
      <c r="Z58" s="6"/>
      <c r="AA58" s="225"/>
      <c r="AB58" s="225"/>
    </row>
    <row r="59" spans="2:28" s="1" customFormat="1" ht="15" customHeight="1">
      <c r="B59" s="4" t="s">
        <v>367</v>
      </c>
      <c r="C59" s="5"/>
      <c r="D59" s="6"/>
      <c r="E59" s="7"/>
      <c r="G59" s="11"/>
      <c r="S59" s="7"/>
      <c r="T59" s="7"/>
      <c r="U59" s="8"/>
      <c r="V59" s="7"/>
      <c r="W59" s="6"/>
      <c r="X59" s="7"/>
      <c r="Y59" s="7"/>
      <c r="Z59" s="6"/>
      <c r="AA59" s="225"/>
      <c r="AB59" s="225"/>
    </row>
    <row r="60" spans="2:28" s="1" customFormat="1" ht="15" customHeight="1">
      <c r="B60" s="4" t="s">
        <v>596</v>
      </c>
      <c r="C60" s="5"/>
      <c r="D60" s="6"/>
      <c r="E60" s="7"/>
      <c r="F60" s="5"/>
      <c r="G60" s="12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7"/>
      <c r="T60" s="7"/>
      <c r="U60" s="8"/>
      <c r="V60" s="7"/>
      <c r="W60" s="6"/>
      <c r="X60" s="7"/>
      <c r="Y60" s="7"/>
      <c r="Z60" s="6"/>
      <c r="AA60" s="225"/>
      <c r="AB60" s="225"/>
    </row>
    <row r="61" spans="2:28" s="1" customFormat="1" ht="15" customHeight="1">
      <c r="C61" s="5"/>
      <c r="D61" s="6"/>
      <c r="E61" s="7"/>
      <c r="F61" s="5"/>
      <c r="G61" s="127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7"/>
      <c r="T61" s="7"/>
      <c r="U61" s="8"/>
      <c r="V61" s="7"/>
      <c r="W61" s="6"/>
      <c r="X61" s="7"/>
      <c r="Y61" s="7"/>
      <c r="Z61" s="6"/>
      <c r="AA61" s="225"/>
      <c r="AB61" s="225"/>
    </row>
    <row r="62" spans="2:28" s="1" customFormat="1" ht="15" customHeight="1">
      <c r="B62" s="4"/>
      <c r="C62" s="5"/>
      <c r="D62" s="6"/>
      <c r="E62" s="7"/>
      <c r="F62" s="5"/>
      <c r="G62" s="12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7"/>
      <c r="T62" s="7"/>
      <c r="U62" s="8"/>
      <c r="V62" s="7"/>
      <c r="W62" s="6"/>
      <c r="X62" s="7"/>
      <c r="Y62" s="7"/>
      <c r="Z62" s="6"/>
      <c r="AA62" s="225"/>
      <c r="AB62" s="225"/>
    </row>
    <row r="63" spans="2:28" s="1" customFormat="1" ht="15" customHeight="1">
      <c r="B63" s="4"/>
      <c r="C63" s="128" t="s">
        <v>595</v>
      </c>
      <c r="D63" s="6"/>
      <c r="E63" s="128"/>
      <c r="F63" s="129" t="s">
        <v>616</v>
      </c>
      <c r="G63" s="128"/>
      <c r="H63" s="128"/>
      <c r="I63" s="128"/>
      <c r="J63" s="128"/>
      <c r="K63" s="128"/>
      <c r="L63" s="128"/>
      <c r="M63" s="128"/>
      <c r="N63" s="128"/>
      <c r="O63" s="5"/>
      <c r="P63" s="5"/>
      <c r="Q63" s="5"/>
      <c r="R63" s="7"/>
      <c r="S63" s="7"/>
      <c r="T63" s="8"/>
      <c r="U63" s="7"/>
      <c r="V63" s="6"/>
      <c r="W63" s="7"/>
      <c r="X63" s="7"/>
      <c r="Y63" s="6"/>
      <c r="Z63" s="225"/>
      <c r="AA63" s="225"/>
    </row>
    <row r="64" spans="2:28" s="1" customFormat="1" ht="45.2" customHeight="1">
      <c r="B64" s="4"/>
      <c r="C64" s="130" t="s">
        <v>143</v>
      </c>
      <c r="D64" s="266" t="s">
        <v>144</v>
      </c>
      <c r="E64" s="468" t="s">
        <v>610</v>
      </c>
      <c r="F64" s="498" t="s">
        <v>145</v>
      </c>
      <c r="G64" s="498"/>
      <c r="H64" s="498"/>
      <c r="I64" s="498"/>
      <c r="J64" s="498"/>
      <c r="K64" s="498"/>
      <c r="L64" s="498"/>
      <c r="M64" s="131" t="s">
        <v>363</v>
      </c>
      <c r="N64" s="479" t="s">
        <v>611</v>
      </c>
      <c r="O64" s="501" t="s">
        <v>612</v>
      </c>
      <c r="P64" s="502"/>
      <c r="Q64" s="502"/>
      <c r="R64" s="502"/>
      <c r="S64" s="503"/>
      <c r="T64" s="136"/>
      <c r="U64" s="136"/>
      <c r="V64" s="136"/>
      <c r="W64" s="136"/>
      <c r="X64" s="136"/>
      <c r="Y64" s="136"/>
      <c r="Z64" s="136"/>
    </row>
    <row r="65" spans="2:26" ht="15" customHeight="1">
      <c r="C65" s="132" t="str">
        <f>1&amp;$G$1</f>
        <v>1楠中学校</v>
      </c>
      <c r="D65" s="352" t="str">
        <f>IFERROR(VLOOKUP(C65,室名リスト!$D:$G,3,FALSE),"")</f>
        <v>校長室</v>
      </c>
      <c r="E65" s="468">
        <f>IFERROR(VLOOKUP(C65,室名リスト!$D:$G,4,FALSE),"")</f>
        <v>3</v>
      </c>
      <c r="F65" s="289" t="s">
        <v>426</v>
      </c>
      <c r="G65" s="290"/>
      <c r="H65" s="290"/>
      <c r="I65" s="290"/>
      <c r="J65" s="290"/>
      <c r="K65" s="290"/>
      <c r="L65" s="290"/>
      <c r="M65" s="134">
        <v>1</v>
      </c>
      <c r="N65" s="470">
        <f>COUNTIF($E$65:$E$89,M65)</f>
        <v>0</v>
      </c>
      <c r="O65" s="471" t="str">
        <f>IF(N65=0,"",F65)</f>
        <v/>
      </c>
      <c r="P65" s="472"/>
      <c r="Q65" s="472"/>
      <c r="R65" s="473"/>
      <c r="S65" s="474"/>
      <c r="T65" s="469"/>
      <c r="U65" s="469"/>
      <c r="V65" s="469"/>
      <c r="W65" s="469"/>
      <c r="X65" s="469"/>
      <c r="Y65" s="469"/>
      <c r="Z65" s="136"/>
    </row>
    <row r="66" spans="2:26" ht="13.9" customHeight="1">
      <c r="B66" s="4"/>
      <c r="C66" s="132" t="str">
        <f>2&amp;$G$1</f>
        <v>2楠中学校</v>
      </c>
      <c r="D66" s="352" t="str">
        <f>IFERROR(VLOOKUP(C66,室名リスト!$D:$G,3,FALSE),"")</f>
        <v>研修室（B）</v>
      </c>
      <c r="E66" s="468">
        <f>IFERROR(VLOOKUP(C66,室名リスト!$D:$G,4,FALSE),"")</f>
        <v>7</v>
      </c>
      <c r="F66" s="287" t="s">
        <v>428</v>
      </c>
      <c r="G66" s="288"/>
      <c r="H66" s="288"/>
      <c r="I66" s="288"/>
      <c r="J66" s="286"/>
      <c r="K66" s="286"/>
      <c r="L66" s="286"/>
      <c r="M66" s="135">
        <v>2</v>
      </c>
      <c r="N66" s="470">
        <f t="shared" ref="N66:N72" si="11">COUNTIF($E$65:$E$89,M66)</f>
        <v>1</v>
      </c>
      <c r="O66" s="287" t="str">
        <f t="shared" ref="O66:O72" si="12">IF(N66=0,"",F66)</f>
        <v>②職員室</v>
      </c>
      <c r="P66" s="288"/>
      <c r="Q66" s="288"/>
      <c r="R66" s="285"/>
      <c r="S66" s="478"/>
      <c r="T66" s="469"/>
      <c r="U66" s="469"/>
      <c r="V66" s="469"/>
      <c r="W66" s="469"/>
      <c r="X66" s="469"/>
      <c r="Y66" s="469"/>
      <c r="Z66" s="136"/>
    </row>
    <row r="67" spans="2:26">
      <c r="B67" s="3"/>
      <c r="C67" s="132" t="str">
        <f>3&amp;$G$1</f>
        <v>3楠中学校</v>
      </c>
      <c r="D67" s="352" t="str">
        <f>IFERROR(VLOOKUP(C67,室名リスト!$D:$G,3,FALSE),"")</f>
        <v>職員室</v>
      </c>
      <c r="E67" s="468">
        <f>IFERROR(VLOOKUP(C67,室名リスト!$D:$G,4,FALSE),"")</f>
        <v>2</v>
      </c>
      <c r="F67" s="287" t="s">
        <v>371</v>
      </c>
      <c r="G67" s="288"/>
      <c r="H67" s="288"/>
      <c r="I67" s="288"/>
      <c r="J67" s="288"/>
      <c r="K67" s="288"/>
      <c r="L67" s="288"/>
      <c r="M67" s="134">
        <v>3</v>
      </c>
      <c r="N67" s="470">
        <f t="shared" si="11"/>
        <v>1</v>
      </c>
      <c r="O67" s="471" t="str">
        <f t="shared" si="12"/>
        <v>③校長室</v>
      </c>
      <c r="P67" s="473"/>
      <c r="Q67" s="473"/>
      <c r="R67" s="473"/>
      <c r="S67" s="474"/>
      <c r="T67" s="469"/>
      <c r="U67" s="469"/>
      <c r="V67" s="469"/>
      <c r="W67" s="469"/>
      <c r="X67" s="469"/>
      <c r="Y67" s="469"/>
      <c r="Z67" s="136"/>
    </row>
    <row r="68" spans="2:26">
      <c r="C68" s="132" t="str">
        <f>4&amp;$G$1</f>
        <v>4楠中学校</v>
      </c>
      <c r="D68" s="352" t="str">
        <f>IFERROR(VLOOKUP(C68,室名リスト!$D:$G,3,FALSE),"")</f>
        <v>教育相談室</v>
      </c>
      <c r="E68" s="468">
        <f>IFERROR(VLOOKUP(C68,室名リスト!$D:$G,4,FALSE),"")</f>
        <v>5</v>
      </c>
      <c r="F68" s="284" t="s">
        <v>372</v>
      </c>
      <c r="G68" s="285"/>
      <c r="H68" s="285"/>
      <c r="I68" s="285"/>
      <c r="J68" s="285"/>
      <c r="K68" s="285"/>
      <c r="L68" s="285"/>
      <c r="M68" s="135">
        <v>4</v>
      </c>
      <c r="N68" s="470">
        <f t="shared" si="11"/>
        <v>1</v>
      </c>
      <c r="O68" s="287" t="str">
        <f t="shared" si="12"/>
        <v>④保健室</v>
      </c>
      <c r="P68" s="285"/>
      <c r="Q68" s="285"/>
      <c r="R68" s="285"/>
      <c r="S68" s="478"/>
      <c r="T68" s="469"/>
      <c r="U68" s="469"/>
      <c r="V68" s="469"/>
      <c r="W68" s="469"/>
      <c r="X68" s="469"/>
      <c r="Y68" s="469"/>
      <c r="Z68" s="136"/>
    </row>
    <row r="69" spans="2:26">
      <c r="C69" s="132" t="str">
        <f>5&amp;$G$1</f>
        <v>5楠中学校</v>
      </c>
      <c r="D69" s="352" t="str">
        <f>IFERROR(VLOOKUP(C69,室名リスト!$D:$G,3,FALSE),"")</f>
        <v>保健室</v>
      </c>
      <c r="E69" s="468">
        <f>IFERROR(VLOOKUP(C69,室名リスト!$D:$G,4,FALSE),"")</f>
        <v>4</v>
      </c>
      <c r="F69" s="284" t="s">
        <v>374</v>
      </c>
      <c r="G69" s="285"/>
      <c r="H69" s="285"/>
      <c r="I69" s="285"/>
      <c r="J69" s="285"/>
      <c r="K69" s="285"/>
      <c r="L69" s="285"/>
      <c r="M69" s="134">
        <v>5</v>
      </c>
      <c r="N69" s="470">
        <f t="shared" si="11"/>
        <v>2</v>
      </c>
      <c r="O69" s="471" t="str">
        <f t="shared" si="12"/>
        <v>⑤相談室</v>
      </c>
      <c r="P69" s="473"/>
      <c r="Q69" s="473"/>
      <c r="R69" s="473"/>
      <c r="S69" s="474"/>
      <c r="T69" s="469"/>
      <c r="U69" s="469"/>
      <c r="V69" s="469"/>
      <c r="W69" s="469"/>
      <c r="X69" s="469"/>
      <c r="Y69" s="469"/>
      <c r="Z69" s="136"/>
    </row>
    <row r="70" spans="2:26">
      <c r="C70" s="132" t="str">
        <f>6&amp;$G$1</f>
        <v>6楠中学校</v>
      </c>
      <c r="D70" s="352" t="str">
        <f>IFERROR(VLOOKUP(C70,室名リスト!$D:$G,3,FALSE),"")</f>
        <v>ｶｳﾝｾﾘﾝｸﾞ室</v>
      </c>
      <c r="E70" s="468">
        <f>IFERROR(VLOOKUP(C70,室名リスト!$D:$G,4,FALSE),"")</f>
        <v>5</v>
      </c>
      <c r="F70" s="291" t="s">
        <v>373</v>
      </c>
      <c r="G70" s="292"/>
      <c r="H70" s="292"/>
      <c r="I70" s="292"/>
      <c r="J70" s="292"/>
      <c r="K70" s="292"/>
      <c r="L70" s="292"/>
      <c r="M70" s="135">
        <v>6</v>
      </c>
      <c r="N70" s="470">
        <f t="shared" si="11"/>
        <v>1</v>
      </c>
      <c r="O70" s="287" t="str">
        <f t="shared" si="12"/>
        <v>⑥会議室</v>
      </c>
      <c r="P70" s="285"/>
      <c r="Q70" s="285"/>
      <c r="R70" s="285"/>
      <c r="S70" s="478"/>
      <c r="T70" s="469"/>
      <c r="U70" s="469"/>
      <c r="V70" s="469"/>
      <c r="W70" s="469"/>
      <c r="X70" s="469"/>
      <c r="Y70" s="469"/>
      <c r="Z70" s="136"/>
    </row>
    <row r="71" spans="2:26">
      <c r="C71" s="132" t="str">
        <f>7&amp;$G$1</f>
        <v>7楠中学校</v>
      </c>
      <c r="D71" s="352" t="str">
        <f>IFERROR(VLOOKUP(C71,室名リスト!$D:$G,3,FALSE),"")</f>
        <v>多目的室（西）</v>
      </c>
      <c r="E71" s="468">
        <f>IFERROR(VLOOKUP(C71,室名リスト!$D:$G,4,FALSE),"")</f>
        <v>8</v>
      </c>
      <c r="F71" s="133" t="s">
        <v>375</v>
      </c>
      <c r="G71" s="295"/>
      <c r="H71" s="295"/>
      <c r="I71" s="295"/>
      <c r="J71" s="295"/>
      <c r="K71" s="295"/>
      <c r="L71" s="295"/>
      <c r="M71" s="134">
        <v>7</v>
      </c>
      <c r="N71" s="470">
        <f t="shared" si="11"/>
        <v>2</v>
      </c>
      <c r="O71" s="287" t="str">
        <f t="shared" si="12"/>
        <v>⑦その他居室</v>
      </c>
      <c r="P71" s="285"/>
      <c r="Q71" s="285"/>
      <c r="R71" s="285"/>
      <c r="S71" s="478"/>
      <c r="T71" s="469"/>
      <c r="U71" s="469"/>
      <c r="V71" s="469"/>
      <c r="W71" s="469"/>
      <c r="X71" s="469"/>
      <c r="Y71" s="469"/>
      <c r="Z71" s="136"/>
    </row>
    <row r="72" spans="2:26">
      <c r="C72" s="132" t="str">
        <f>8&amp;$G$1</f>
        <v>8楠中学校</v>
      </c>
      <c r="D72" s="352" t="str">
        <f>IFERROR(VLOOKUP(C72,室名リスト!$D:$G,3,FALSE),"")</f>
        <v>生徒会（西・東）</v>
      </c>
      <c r="E72" s="468">
        <f>IFERROR(VLOOKUP(C72,室名リスト!$D:$G,4,FALSE),"")</f>
        <v>6</v>
      </c>
      <c r="F72" s="293" t="s">
        <v>376</v>
      </c>
      <c r="G72" s="294"/>
      <c r="H72" s="294"/>
      <c r="I72" s="294"/>
      <c r="J72" s="294"/>
      <c r="K72" s="294"/>
      <c r="L72" s="294"/>
      <c r="M72" s="135">
        <v>8</v>
      </c>
      <c r="N72" s="470">
        <f t="shared" si="11"/>
        <v>2</v>
      </c>
      <c r="O72" s="475" t="str">
        <f t="shared" si="12"/>
        <v>⑧その他居室（授業での使用が想定される居室）</v>
      </c>
      <c r="P72" s="476"/>
      <c r="Q72" s="476"/>
      <c r="R72" s="476"/>
      <c r="S72" s="477"/>
      <c r="T72" s="469"/>
      <c r="U72" s="469"/>
      <c r="V72" s="469"/>
      <c r="W72" s="469"/>
      <c r="X72" s="469"/>
      <c r="Y72" s="469"/>
      <c r="Z72" s="136"/>
    </row>
    <row r="73" spans="2:26">
      <c r="C73" s="132" t="str">
        <f>9&amp;$G$1</f>
        <v>9楠中学校</v>
      </c>
      <c r="D73" s="352" t="str">
        <f>IFERROR(VLOOKUP(C73,室名リスト!$D:$G,3,FALSE),"")</f>
        <v>多目的室（東）</v>
      </c>
      <c r="E73" s="468">
        <f>IFERROR(VLOOKUP(C73,室名リスト!$D:$G,4,FALSE),"")</f>
        <v>8</v>
      </c>
      <c r="F73" s="487" t="s">
        <v>623</v>
      </c>
      <c r="G73" s="488"/>
      <c r="H73" s="488"/>
      <c r="I73" s="488"/>
      <c r="J73" s="488"/>
      <c r="K73" s="488"/>
      <c r="L73" s="489"/>
      <c r="M73" s="490"/>
      <c r="N73" s="490">
        <f>SUM(N65:N72)</f>
        <v>10</v>
      </c>
      <c r="O73" s="487"/>
      <c r="P73" s="488"/>
      <c r="Q73" s="488"/>
      <c r="R73" s="488"/>
      <c r="S73" s="491"/>
      <c r="U73" s="1"/>
      <c r="Y73" s="225"/>
      <c r="Z73" s="225"/>
    </row>
    <row r="74" spans="2:26">
      <c r="C74" s="132" t="str">
        <f>10&amp;$G$1</f>
        <v>10楠中学校</v>
      </c>
      <c r="D74" s="352" t="str">
        <f>IFERROR(VLOOKUP(C74,室名リスト!$D:$G,3,FALSE),"")</f>
        <v>配膳室</v>
      </c>
      <c r="E74" s="468">
        <f>IFERROR(VLOOKUP(C74,室名リスト!$D:$G,4,FALSE),"")</f>
        <v>7</v>
      </c>
      <c r="G74" s="1"/>
      <c r="S74" s="2"/>
      <c r="U74" s="1"/>
      <c r="Y74" s="225"/>
      <c r="Z74" s="225"/>
    </row>
    <row r="75" spans="2:26">
      <c r="C75" s="132" t="str">
        <f>11&amp;$G$1</f>
        <v>11楠中学校</v>
      </c>
      <c r="D75" s="352" t="str">
        <f>IFERROR(VLOOKUP(C75,室名リスト!$D:$G,3,FALSE),"")</f>
        <v/>
      </c>
      <c r="E75" s="468" t="str">
        <f>IFERROR(VLOOKUP(C75,室名リスト!$D:$G,4,FALSE),"")</f>
        <v/>
      </c>
      <c r="G75" s="1"/>
      <c r="S75" s="2"/>
      <c r="U75" s="1"/>
      <c r="Y75" s="225"/>
      <c r="Z75" s="225"/>
    </row>
    <row r="76" spans="2:26">
      <c r="C76" s="132" t="str">
        <f>12&amp;$G$1</f>
        <v>12楠中学校</v>
      </c>
      <c r="D76" s="352" t="str">
        <f>IFERROR(VLOOKUP(C76,室名リスト!$D:$G,3,FALSE),"")</f>
        <v/>
      </c>
      <c r="E76" s="468" t="str">
        <f>IFERROR(VLOOKUP(C76,室名リスト!$D:$G,4,FALSE),"")</f>
        <v/>
      </c>
      <c r="G76" s="1"/>
      <c r="S76" s="2"/>
      <c r="U76" s="1"/>
      <c r="Y76" s="225"/>
      <c r="Z76" s="225"/>
    </row>
    <row r="77" spans="2:26">
      <c r="C77" s="132" t="str">
        <f>13&amp;$G$1</f>
        <v>13楠中学校</v>
      </c>
      <c r="D77" s="352" t="str">
        <f>IFERROR(VLOOKUP(C77,室名リスト!$D:$G,3,FALSE),"")</f>
        <v/>
      </c>
      <c r="E77" s="468" t="str">
        <f>IFERROR(VLOOKUP(C77,室名リスト!$D:$G,4,FALSE),"")</f>
        <v/>
      </c>
      <c r="G77" s="1"/>
      <c r="S77" s="2"/>
      <c r="U77" s="1"/>
      <c r="Y77" s="225"/>
      <c r="Z77" s="225"/>
    </row>
    <row r="78" spans="2:26">
      <c r="C78" s="132" t="str">
        <f>14&amp;$G$1</f>
        <v>14楠中学校</v>
      </c>
      <c r="D78" s="352" t="str">
        <f>IFERROR(VLOOKUP(C78,室名リスト!$D:$G,3,FALSE),"")</f>
        <v/>
      </c>
      <c r="E78" s="468" t="str">
        <f>IFERROR(VLOOKUP(C78,室名リスト!$D:$G,4,FALSE),"")</f>
        <v/>
      </c>
      <c r="G78" s="1"/>
      <c r="S78" s="2"/>
      <c r="U78" s="1"/>
      <c r="Y78" s="225"/>
      <c r="Z78" s="225"/>
    </row>
    <row r="79" spans="2:26">
      <c r="C79" s="132" t="str">
        <f>15&amp;$G$1</f>
        <v>15楠中学校</v>
      </c>
      <c r="D79" s="352" t="str">
        <f>IFERROR(VLOOKUP(C79,室名リスト!$D:$G,3,FALSE),"")</f>
        <v/>
      </c>
      <c r="E79" s="468" t="str">
        <f>IFERROR(VLOOKUP(C79,室名リスト!$D:$G,4,FALSE),"")</f>
        <v/>
      </c>
      <c r="G79" s="1"/>
      <c r="S79" s="2"/>
      <c r="U79" s="1"/>
      <c r="Y79" s="225"/>
      <c r="Z79" s="225"/>
    </row>
    <row r="80" spans="2:26">
      <c r="C80" s="132" t="str">
        <f>16&amp;$G$1</f>
        <v>16楠中学校</v>
      </c>
      <c r="D80" s="352" t="str">
        <f>IFERROR(VLOOKUP(C80,室名リスト!$D:$G,3,FALSE),"")</f>
        <v/>
      </c>
      <c r="E80" s="468" t="str">
        <f>IFERROR(VLOOKUP(C80,室名リスト!$D:$G,4,FALSE),"")</f>
        <v/>
      </c>
      <c r="G80" s="1"/>
      <c r="S80" s="2"/>
      <c r="U80" s="1"/>
      <c r="Y80" s="225"/>
      <c r="Z80" s="225"/>
    </row>
    <row r="81" spans="2:26">
      <c r="C81" s="132" t="str">
        <f>17&amp;$G$1</f>
        <v>17楠中学校</v>
      </c>
      <c r="D81" s="352" t="str">
        <f>IFERROR(VLOOKUP(C81,室名リスト!$D:$G,3,FALSE),"")</f>
        <v/>
      </c>
      <c r="E81" s="468" t="str">
        <f>IFERROR(VLOOKUP(C81,室名リスト!$D:$G,4,FALSE),"")</f>
        <v/>
      </c>
      <c r="G81" s="1"/>
      <c r="S81" s="2"/>
      <c r="U81" s="1"/>
      <c r="Y81" s="225"/>
      <c r="Z81" s="225"/>
    </row>
    <row r="82" spans="2:26">
      <c r="C82" s="132" t="str">
        <f>18&amp;$G$1</f>
        <v>18楠中学校</v>
      </c>
      <c r="D82" s="352" t="str">
        <f>IFERROR(VLOOKUP(C82,室名リスト!$D:$G,3,FALSE),"")</f>
        <v/>
      </c>
      <c r="E82" s="468" t="str">
        <f>IFERROR(VLOOKUP(C82,室名リスト!$D:$G,4,FALSE),"")</f>
        <v/>
      </c>
      <c r="G82" s="1"/>
      <c r="S82" s="2"/>
      <c r="U82" s="1"/>
      <c r="Y82" s="225"/>
      <c r="Z82" s="225"/>
    </row>
    <row r="83" spans="2:26">
      <c r="C83" s="132" t="str">
        <f>19&amp;$G$1</f>
        <v>19楠中学校</v>
      </c>
      <c r="D83" s="352" t="str">
        <f>IFERROR(VLOOKUP(C83,室名リスト!$D:$G,3,FALSE),"")</f>
        <v/>
      </c>
      <c r="E83" s="468" t="str">
        <f>IFERROR(VLOOKUP(C83,室名リスト!$D:$G,4,FALSE),"")</f>
        <v/>
      </c>
      <c r="G83" s="1"/>
      <c r="S83" s="2"/>
      <c r="U83" s="1"/>
      <c r="Y83" s="225"/>
      <c r="Z83" s="225"/>
    </row>
    <row r="84" spans="2:26">
      <c r="C84" s="132" t="str">
        <f>20&amp;$G$1</f>
        <v>20楠中学校</v>
      </c>
      <c r="D84" s="352" t="str">
        <f>IFERROR(VLOOKUP(C84,室名リスト!$D:$G,3,FALSE),"")</f>
        <v/>
      </c>
      <c r="E84" s="468" t="str">
        <f>IFERROR(VLOOKUP(C84,室名リスト!$D:$G,4,FALSE),"")</f>
        <v/>
      </c>
      <c r="G84" s="1"/>
      <c r="S84" s="2"/>
      <c r="U84" s="1"/>
      <c r="Y84" s="225"/>
      <c r="Z84" s="225"/>
    </row>
    <row r="85" spans="2:26">
      <c r="C85" s="132" t="str">
        <f>21&amp;$G$1</f>
        <v>21楠中学校</v>
      </c>
      <c r="D85" s="352" t="str">
        <f>IFERROR(VLOOKUP(C85,室名リスト!$D:$G,3,FALSE),"")</f>
        <v/>
      </c>
      <c r="E85" s="468" t="str">
        <f>IFERROR(VLOOKUP(C85,室名リスト!$D:$G,4,FALSE),"")</f>
        <v/>
      </c>
      <c r="G85" s="1"/>
      <c r="S85" s="2"/>
      <c r="U85" s="1"/>
      <c r="Y85" s="225"/>
      <c r="Z85" s="225"/>
    </row>
    <row r="86" spans="2:26">
      <c r="C86" s="132" t="str">
        <f>22&amp;$G$1</f>
        <v>22楠中学校</v>
      </c>
      <c r="D86" s="352" t="str">
        <f>IFERROR(VLOOKUP(C86,室名リスト!$D:$G,3,FALSE),"")</f>
        <v/>
      </c>
      <c r="E86" s="468" t="str">
        <f>IFERROR(VLOOKUP(C86,室名リスト!$D:$G,4,FALSE),"")</f>
        <v/>
      </c>
      <c r="G86" s="1"/>
      <c r="S86" s="2"/>
      <c r="U86" s="1"/>
      <c r="Y86" s="225"/>
      <c r="Z86" s="225"/>
    </row>
    <row r="87" spans="2:26">
      <c r="C87" s="132" t="str">
        <f>23&amp;$G$1</f>
        <v>23楠中学校</v>
      </c>
      <c r="D87" s="352" t="str">
        <f>IFERROR(VLOOKUP(C87,室名リスト!$D:$G,3,FALSE),"")</f>
        <v/>
      </c>
      <c r="E87" s="468" t="str">
        <f>IFERROR(VLOOKUP(C87,室名リスト!$D:$G,4,FALSE),"")</f>
        <v/>
      </c>
      <c r="G87" s="1"/>
      <c r="S87" s="2"/>
      <c r="U87" s="1"/>
      <c r="Y87" s="225"/>
      <c r="Z87" s="225"/>
    </row>
    <row r="88" spans="2:26">
      <c r="C88" s="132" t="str">
        <f>24&amp;$G$1</f>
        <v>24楠中学校</v>
      </c>
      <c r="D88" s="352" t="str">
        <f>IFERROR(VLOOKUP(C88,室名リスト!$D:$G,3,FALSE),"")</f>
        <v/>
      </c>
      <c r="E88" s="468" t="str">
        <f>IFERROR(VLOOKUP(C88,室名リスト!$D:$G,4,FALSE),"")</f>
        <v/>
      </c>
      <c r="G88" s="1"/>
      <c r="S88" s="2"/>
      <c r="U88" s="1"/>
      <c r="Y88" s="225"/>
      <c r="Z88" s="225"/>
    </row>
    <row r="89" spans="2:26">
      <c r="C89" s="132" t="str">
        <f>25&amp;$G$1</f>
        <v>25楠中学校</v>
      </c>
      <c r="D89" s="352" t="str">
        <f>IFERROR(VLOOKUP(C89,室名リスト!$D:$G,3,FALSE),"")</f>
        <v/>
      </c>
      <c r="E89" s="468" t="str">
        <f>IFERROR(VLOOKUP(C89,室名リスト!$D:$G,4,FALSE),"")</f>
        <v/>
      </c>
      <c r="G89" s="1"/>
      <c r="S89" s="2"/>
      <c r="U89" s="1"/>
      <c r="Y89" s="225"/>
      <c r="Z89" s="225"/>
    </row>
    <row r="91" spans="2:26" ht="14.25" thickBot="1"/>
    <row r="92" spans="2:26" ht="15" customHeight="1">
      <c r="B92" s="492" t="s">
        <v>137</v>
      </c>
      <c r="C92" s="426"/>
      <c r="D92" s="427"/>
      <c r="E92" s="428"/>
      <c r="F92" s="429"/>
      <c r="G92" s="430" t="s">
        <v>421</v>
      </c>
      <c r="H92" s="431"/>
      <c r="I92" s="432"/>
      <c r="J92" s="433"/>
      <c r="K92" s="434">
        <f>$K$100/$K$42*$K$21</f>
        <v>0</v>
      </c>
      <c r="L92" s="434">
        <f>$K$100/$K$42*$L$21</f>
        <v>0</v>
      </c>
      <c r="M92" s="435"/>
      <c r="N92" s="436"/>
      <c r="O92" s="434"/>
      <c r="P92" s="437"/>
      <c r="Q92" s="434">
        <f>$K$100/$K$42*$Q$21</f>
        <v>0</v>
      </c>
      <c r="R92" s="434">
        <f>$L$100/$L$42*$R$21</f>
        <v>0</v>
      </c>
      <c r="S92" s="438"/>
      <c r="T92" s="434">
        <f>$K$100/$K$42*$T$21</f>
        <v>0</v>
      </c>
      <c r="U92" s="439"/>
      <c r="V92" s="433"/>
      <c r="W92" s="440"/>
      <c r="X92" s="434">
        <f>$K$100/$K$42*$X$21</f>
        <v>0</v>
      </c>
      <c r="Y92" s="434">
        <f>$L$100/$L$42*$Y$21</f>
        <v>0</v>
      </c>
      <c r="Z92" s="441"/>
    </row>
    <row r="93" spans="2:26" ht="15" customHeight="1">
      <c r="B93" s="493"/>
      <c r="C93" s="62"/>
      <c r="D93" s="63"/>
      <c r="E93" s="64"/>
      <c r="F93" s="65"/>
      <c r="G93" s="299" t="s">
        <v>369</v>
      </c>
      <c r="H93" s="66"/>
      <c r="I93" s="67"/>
      <c r="J93" s="13"/>
      <c r="K93" s="267">
        <f>$K$101/$K$42*$K$21</f>
        <v>249.41176470588235</v>
      </c>
      <c r="L93" s="267">
        <f>$K$101/$K$42*$L$21</f>
        <v>277.64705882352939</v>
      </c>
      <c r="M93" s="68"/>
      <c r="N93" s="69"/>
      <c r="O93" s="267"/>
      <c r="P93" s="57"/>
      <c r="Q93" s="267">
        <f>$K$101/$K$42*$Q$21</f>
        <v>5.9858823529411778</v>
      </c>
      <c r="R93" s="267">
        <f>$L$101/$L$42*$R$21</f>
        <v>37.44</v>
      </c>
      <c r="S93" s="16"/>
      <c r="T93" s="267">
        <f>$K$101/$K$42*$T$21</f>
        <v>0.14117647058823532</v>
      </c>
      <c r="U93" s="70"/>
      <c r="V93" s="13"/>
      <c r="W93" s="56"/>
      <c r="X93" s="267">
        <f>$K$101/$K$42*$X$21</f>
        <v>0.94117647058823528</v>
      </c>
      <c r="Y93" s="267">
        <f>$L$101/$L$42*$Y$21</f>
        <v>0</v>
      </c>
      <c r="Z93" s="71"/>
    </row>
    <row r="94" spans="2:26" ht="15" customHeight="1">
      <c r="B94" s="493"/>
      <c r="C94" s="62"/>
      <c r="D94" s="63"/>
      <c r="E94" s="64"/>
      <c r="F94" s="65"/>
      <c r="G94" s="299" t="s">
        <v>371</v>
      </c>
      <c r="H94" s="66"/>
      <c r="I94" s="67"/>
      <c r="J94" s="13"/>
      <c r="K94" s="267">
        <f>$K$102/$K$42*$K$21</f>
        <v>31.176470588235293</v>
      </c>
      <c r="L94" s="267">
        <f>$K$102/$K$42*$L$21</f>
        <v>34.705882352941174</v>
      </c>
      <c r="M94" s="68"/>
      <c r="N94" s="69"/>
      <c r="O94" s="267"/>
      <c r="P94" s="57"/>
      <c r="Q94" s="267">
        <f>$K$102/$K$42*$Q$21</f>
        <v>0.74823529411764722</v>
      </c>
      <c r="R94" s="267">
        <f>$L$102/$L$42*$R$21</f>
        <v>4.68</v>
      </c>
      <c r="S94" s="16"/>
      <c r="T94" s="267">
        <f>$K$102/$K$42*$T$21</f>
        <v>1.7647058823529415E-2</v>
      </c>
      <c r="U94" s="70"/>
      <c r="V94" s="13"/>
      <c r="W94" s="56"/>
      <c r="X94" s="267">
        <f>$K$102/$K$42*$X$21</f>
        <v>0.11764705882352941</v>
      </c>
      <c r="Y94" s="267">
        <f>$L$102/$L$42*$Y$21</f>
        <v>0</v>
      </c>
      <c r="Z94" s="71"/>
    </row>
    <row r="95" spans="2:26" ht="15" customHeight="1">
      <c r="B95" s="493"/>
      <c r="C95" s="62"/>
      <c r="D95" s="63"/>
      <c r="E95" s="64"/>
      <c r="F95" s="65"/>
      <c r="G95" s="299" t="s">
        <v>372</v>
      </c>
      <c r="H95" s="66"/>
      <c r="I95" s="67"/>
      <c r="J95" s="13"/>
      <c r="K95" s="267">
        <f>$K$103/$K$42*$K$21</f>
        <v>62.352941176470587</v>
      </c>
      <c r="L95" s="267">
        <f>$K$103/$K$42*$L$21</f>
        <v>69.411764705882348</v>
      </c>
      <c r="M95" s="68"/>
      <c r="N95" s="69"/>
      <c r="O95" s="267"/>
      <c r="P95" s="57"/>
      <c r="Q95" s="267">
        <f>$K$103/$K$42*$Q$21</f>
        <v>1.4964705882352944</v>
      </c>
      <c r="R95" s="267">
        <f>$L$103/$L$42*$R$21</f>
        <v>9.36</v>
      </c>
      <c r="S95" s="16"/>
      <c r="T95" s="267">
        <f>$K$103/$K$42*$T$21</f>
        <v>3.529411764705883E-2</v>
      </c>
      <c r="U95" s="70"/>
      <c r="V95" s="13"/>
      <c r="W95" s="56"/>
      <c r="X95" s="267">
        <f>$K$103/$K$42*$X$21</f>
        <v>0.23529411764705882</v>
      </c>
      <c r="Y95" s="267">
        <f>$L$103/$L$42*$Y$21</f>
        <v>0</v>
      </c>
      <c r="Z95" s="71"/>
    </row>
    <row r="96" spans="2:26" ht="15" customHeight="1">
      <c r="B96" s="493"/>
      <c r="C96" s="59"/>
      <c r="D96" s="60"/>
      <c r="E96" s="263"/>
      <c r="F96" s="264"/>
      <c r="G96" s="299" t="s">
        <v>374</v>
      </c>
      <c r="H96" s="61"/>
      <c r="I96" s="67"/>
      <c r="J96" s="13"/>
      <c r="K96" s="267">
        <f>$K$104/$K$42*$K$21</f>
        <v>31.176470588235293</v>
      </c>
      <c r="L96" s="267">
        <f>$K$104/$K$42*$L$21</f>
        <v>34.705882352941174</v>
      </c>
      <c r="M96" s="68"/>
      <c r="N96" s="69"/>
      <c r="O96" s="267"/>
      <c r="P96" s="57"/>
      <c r="Q96" s="267">
        <f>$K$104/$K$42*$Q$21</f>
        <v>0.74823529411764722</v>
      </c>
      <c r="R96" s="267">
        <f>$L$104/$L$42*$R$21</f>
        <v>4.68</v>
      </c>
      <c r="S96" s="16"/>
      <c r="T96" s="267">
        <f>$K$104/$K$42*$T$21</f>
        <v>1.7647058823529415E-2</v>
      </c>
      <c r="U96" s="70"/>
      <c r="V96" s="13"/>
      <c r="W96" s="56"/>
      <c r="X96" s="267">
        <f>$K$104/$K$42*$X$21</f>
        <v>0.11764705882352941</v>
      </c>
      <c r="Y96" s="267">
        <f>$L$104/$L$42*$Y$21</f>
        <v>0</v>
      </c>
      <c r="Z96" s="71"/>
    </row>
    <row r="97" spans="2:26" ht="15" customHeight="1">
      <c r="B97" s="493"/>
      <c r="C97" s="59"/>
      <c r="D97" s="60"/>
      <c r="E97" s="263"/>
      <c r="F97" s="264"/>
      <c r="G97" s="299" t="s">
        <v>373</v>
      </c>
      <c r="H97" s="265"/>
      <c r="I97" s="67"/>
      <c r="J97" s="13"/>
      <c r="K97" s="267">
        <f>$K$105/$K$42*$K$21</f>
        <v>0</v>
      </c>
      <c r="L97" s="267">
        <f>$K$105/$K$42*$L$21</f>
        <v>0</v>
      </c>
      <c r="M97" s="68"/>
      <c r="N97" s="69"/>
      <c r="O97" s="267"/>
      <c r="P97" s="57"/>
      <c r="Q97" s="267">
        <f>$K$105/$K$42*$Q$21</f>
        <v>0</v>
      </c>
      <c r="R97" s="267">
        <f>$L$105/$L$42*$R$21</f>
        <v>0</v>
      </c>
      <c r="S97" s="16"/>
      <c r="T97" s="267">
        <f>$K$105/$K$42*$T$21</f>
        <v>0</v>
      </c>
      <c r="U97" s="70"/>
      <c r="V97" s="13"/>
      <c r="W97" s="56"/>
      <c r="X97" s="267">
        <f>$K$105/$K$42*$X$21</f>
        <v>0</v>
      </c>
      <c r="Y97" s="267">
        <f>$L$105/$L$42*$Y$21</f>
        <v>0</v>
      </c>
      <c r="Z97" s="71"/>
    </row>
    <row r="98" spans="2:26" ht="15" customHeight="1">
      <c r="B98" s="493"/>
      <c r="C98" s="59"/>
      <c r="D98" s="60"/>
      <c r="E98" s="263"/>
      <c r="F98" s="264"/>
      <c r="G98" s="299" t="s">
        <v>375</v>
      </c>
      <c r="H98" s="66"/>
      <c r="I98" s="67"/>
      <c r="J98" s="13"/>
      <c r="K98" s="267">
        <f>$K$106/$K$42*$K$21</f>
        <v>31.176470588235293</v>
      </c>
      <c r="L98" s="267">
        <f>$K$106/$K$42*$L$21</f>
        <v>34.705882352941174</v>
      </c>
      <c r="M98" s="68"/>
      <c r="N98" s="69"/>
      <c r="O98" s="267"/>
      <c r="P98" s="57"/>
      <c r="Q98" s="267">
        <f>$K$106/$K$42*$Q$21</f>
        <v>0.74823529411764722</v>
      </c>
      <c r="R98" s="267">
        <f>$L$106/$L$42*$R$21</f>
        <v>4.68</v>
      </c>
      <c r="S98" s="16"/>
      <c r="T98" s="267">
        <f>$K$106/$K$42*$T$21</f>
        <v>1.7647058823529415E-2</v>
      </c>
      <c r="U98" s="70"/>
      <c r="V98" s="13"/>
      <c r="W98" s="56"/>
      <c r="X98" s="267">
        <f>$K$106/$K$42*$X$21</f>
        <v>0.11764705882352941</v>
      </c>
      <c r="Y98" s="267">
        <f>$L$106/$L$42*$Y$21</f>
        <v>0</v>
      </c>
      <c r="Z98" s="71"/>
    </row>
    <row r="99" spans="2:26" ht="15" customHeight="1" thickBot="1">
      <c r="B99" s="494"/>
      <c r="C99" s="72"/>
      <c r="D99" s="73"/>
      <c r="E99" s="74"/>
      <c r="F99" s="75"/>
      <c r="G99" s="442" t="s">
        <v>376</v>
      </c>
      <c r="H99" s="76"/>
      <c r="I99" s="77"/>
      <c r="J99" s="78"/>
      <c r="K99" s="81">
        <f>$K$107/$K$42*$K$21</f>
        <v>124.70588235294117</v>
      </c>
      <c r="L99" s="81">
        <f>$K$107/$K$42*$L$21</f>
        <v>138.8235294117647</v>
      </c>
      <c r="M99" s="79"/>
      <c r="N99" s="80"/>
      <c r="O99" s="81"/>
      <c r="P99" s="82"/>
      <c r="Q99" s="81">
        <f>$K$107/$K$42*$Q$21</f>
        <v>2.9929411764705889</v>
      </c>
      <c r="R99" s="81">
        <f>$L$107/$L$42*$R$21</f>
        <v>18.72</v>
      </c>
      <c r="S99" s="83"/>
      <c r="T99" s="81">
        <f>$K$107/$K$42*$T$21</f>
        <v>7.058823529411766E-2</v>
      </c>
      <c r="U99" s="85"/>
      <c r="V99" s="78"/>
      <c r="W99" s="86"/>
      <c r="X99" s="81">
        <f>$K$107/$K$42*$X$21</f>
        <v>0.47058823529411764</v>
      </c>
      <c r="Y99" s="81">
        <f>$L$107/$L$42*$Y$21</f>
        <v>0</v>
      </c>
      <c r="Z99" s="87"/>
    </row>
    <row r="100" spans="2:26" s="238" customFormat="1" ht="15" customHeight="1">
      <c r="B100" s="492" t="s">
        <v>142</v>
      </c>
      <c r="C100" s="426"/>
      <c r="D100" s="427"/>
      <c r="E100" s="428"/>
      <c r="F100" s="429"/>
      <c r="G100" s="443" t="s">
        <v>421</v>
      </c>
      <c r="H100" s="431"/>
      <c r="I100" s="432"/>
      <c r="J100" s="433"/>
      <c r="K100" s="444">
        <f>SUMIF($G$23:$G$41,$G$100,$K$23:$K$41)</f>
        <v>0</v>
      </c>
      <c r="L100" s="444">
        <f>SUMIF($G$23:$G$41,$G$100,$L$23:$L$41)</f>
        <v>0</v>
      </c>
      <c r="M100" s="445"/>
      <c r="N100" s="436"/>
      <c r="O100" s="434"/>
      <c r="P100" s="437"/>
      <c r="Q100" s="434"/>
      <c r="R100" s="446">
        <f>SUMIF($G$23:$G$41,$G$100,$Q$23:$R$41)</f>
        <v>0</v>
      </c>
      <c r="S100" s="438"/>
      <c r="T100" s="444">
        <f>SUMIF($G$23:$G$41,$G$100,$T$23:$T$41)</f>
        <v>0</v>
      </c>
      <c r="U100" s="439"/>
      <c r="V100" s="433"/>
      <c r="W100" s="440"/>
      <c r="X100" s="434"/>
      <c r="Y100" s="434"/>
      <c r="Z100" s="447"/>
    </row>
    <row r="101" spans="2:26" s="238" customFormat="1" ht="15" customHeight="1">
      <c r="B101" s="493"/>
      <c r="C101" s="62"/>
      <c r="D101" s="63"/>
      <c r="E101" s="64"/>
      <c r="F101" s="65"/>
      <c r="G101" s="298" t="s">
        <v>369</v>
      </c>
      <c r="H101" s="66"/>
      <c r="I101" s="67"/>
      <c r="J101" s="13"/>
      <c r="K101" s="55">
        <f>SUMIF($G$23:$G$41,$G$101,$K$23:$K$41)</f>
        <v>72</v>
      </c>
      <c r="L101" s="55">
        <f>SUMIF($G$23:$G$41,$G$101,$L$23:$L$41)</f>
        <v>80</v>
      </c>
      <c r="M101" s="90"/>
      <c r="N101" s="69"/>
      <c r="O101" s="267"/>
      <c r="P101" s="57"/>
      <c r="Q101" s="267"/>
      <c r="R101" s="239">
        <f>SUMIF($G$23:$G$41,$G$101,$Q$23:$R$41)</f>
        <v>0.39</v>
      </c>
      <c r="S101" s="16"/>
      <c r="T101" s="55">
        <f>SUMIF($G$23:$G$41,$G$101,$T$23:$T$41)</f>
        <v>0</v>
      </c>
      <c r="U101" s="70"/>
      <c r="V101" s="13"/>
      <c r="W101" s="56"/>
      <c r="X101" s="267"/>
      <c r="Y101" s="267"/>
      <c r="Z101" s="91"/>
    </row>
    <row r="102" spans="2:26" s="238" customFormat="1" ht="15" customHeight="1">
      <c r="B102" s="493"/>
      <c r="C102" s="62"/>
      <c r="D102" s="63"/>
      <c r="E102" s="64"/>
      <c r="F102" s="65"/>
      <c r="G102" s="300" t="s">
        <v>371</v>
      </c>
      <c r="H102" s="66"/>
      <c r="I102" s="67"/>
      <c r="J102" s="13"/>
      <c r="K102" s="55">
        <f>SUMIF($G$23:$G$41,$G$102,$K$23:$K$41)</f>
        <v>9</v>
      </c>
      <c r="L102" s="55">
        <f>SUMIF($G$23:$G$41,$G$102,$L$23:$L$41)</f>
        <v>10</v>
      </c>
      <c r="M102" s="90"/>
      <c r="N102" s="69"/>
      <c r="O102" s="267"/>
      <c r="P102" s="57"/>
      <c r="Q102" s="267"/>
      <c r="R102" s="239">
        <f>SUMIF($G$23:$G$41,$G$102,$Q$23:$R$41)</f>
        <v>3.5000000000000003E-2</v>
      </c>
      <c r="S102" s="16"/>
      <c r="T102" s="55">
        <f>SUMIF($G$23:$G$41,$G$102,$T$23:$T$41)</f>
        <v>0</v>
      </c>
      <c r="U102" s="70"/>
      <c r="V102" s="13"/>
      <c r="W102" s="56"/>
      <c r="X102" s="267"/>
      <c r="Y102" s="267"/>
      <c r="Z102" s="91"/>
    </row>
    <row r="103" spans="2:26" s="238" customFormat="1" ht="15" customHeight="1">
      <c r="B103" s="493"/>
      <c r="C103" s="62"/>
      <c r="D103" s="63"/>
      <c r="E103" s="64"/>
      <c r="F103" s="65"/>
      <c r="G103" s="301" t="s">
        <v>372</v>
      </c>
      <c r="H103" s="66"/>
      <c r="I103" s="67"/>
      <c r="J103" s="13"/>
      <c r="K103" s="55">
        <f>SUMIF($G$23:$G$41,$G$103,$K$23:$K$41)</f>
        <v>18</v>
      </c>
      <c r="L103" s="55">
        <f>SUMIF($G$23:$G$41,$G$103,$L$23:$L$41)</f>
        <v>20</v>
      </c>
      <c r="M103" s="90"/>
      <c r="N103" s="69"/>
      <c r="O103" s="267"/>
      <c r="P103" s="57"/>
      <c r="Q103" s="267"/>
      <c r="R103" s="239">
        <f>SUMIF($G$23:$G$41,$G$103,$Q$23:$R$41)</f>
        <v>7.0000000000000007E-2</v>
      </c>
      <c r="S103" s="16"/>
      <c r="T103" s="55">
        <f>SUMIF($G$23:$G$41,$G$103,$T$23:$T$41)</f>
        <v>0</v>
      </c>
      <c r="U103" s="70"/>
      <c r="V103" s="13"/>
      <c r="W103" s="56"/>
      <c r="X103" s="267"/>
      <c r="Y103" s="267"/>
      <c r="Z103" s="91"/>
    </row>
    <row r="104" spans="2:26" s="238" customFormat="1" ht="15" customHeight="1">
      <c r="B104" s="493"/>
      <c r="C104" s="62"/>
      <c r="D104" s="63"/>
      <c r="E104" s="64"/>
      <c r="F104" s="65"/>
      <c r="G104" s="298" t="s">
        <v>374</v>
      </c>
      <c r="H104" s="66"/>
      <c r="I104" s="67"/>
      <c r="J104" s="13"/>
      <c r="K104" s="55">
        <f>SUMIF($G$23:$G$41,$G$104,$K$23:$K$41)</f>
        <v>9</v>
      </c>
      <c r="L104" s="55">
        <f>SUMIF($G$23:$G$41,$G$104,$L$23:$L$41)</f>
        <v>10</v>
      </c>
      <c r="M104" s="90"/>
      <c r="N104" s="69"/>
      <c r="O104" s="267"/>
      <c r="P104" s="57"/>
      <c r="Q104" s="267"/>
      <c r="R104" s="239">
        <f>SUMIF($G$23:$G$41,$G$104,$Q$23:$R$41)</f>
        <v>3.5000000000000003E-2</v>
      </c>
      <c r="S104" s="16"/>
      <c r="T104" s="55">
        <f>SUMIF($G$23:$G$41,$G$104,$T$23:$T$41)</f>
        <v>0</v>
      </c>
      <c r="U104" s="70"/>
      <c r="V104" s="13"/>
      <c r="W104" s="56"/>
      <c r="X104" s="267"/>
      <c r="Y104" s="267"/>
      <c r="Z104" s="91"/>
    </row>
    <row r="105" spans="2:26" s="238" customFormat="1" ht="15" customHeight="1">
      <c r="B105" s="493"/>
      <c r="C105" s="62"/>
      <c r="D105" s="63"/>
      <c r="E105" s="64"/>
      <c r="F105" s="65"/>
      <c r="G105" s="300" t="s">
        <v>373</v>
      </c>
      <c r="H105" s="66"/>
      <c r="I105" s="67"/>
      <c r="J105" s="13"/>
      <c r="K105" s="55">
        <f>SUMIF($G$23:$G$41,$G$105,$K$23:$K$41)</f>
        <v>0</v>
      </c>
      <c r="L105" s="55">
        <f>SUMIF($G$23:$G$41,$G$105,$L$23:$L$41)</f>
        <v>0</v>
      </c>
      <c r="M105" s="90"/>
      <c r="N105" s="69"/>
      <c r="O105" s="267"/>
      <c r="P105" s="57"/>
      <c r="Q105" s="267"/>
      <c r="R105" s="239">
        <f>SUMIF($G$23:$G$41,$G$105,$Q$23:$R$41)</f>
        <v>0</v>
      </c>
      <c r="S105" s="16"/>
      <c r="T105" s="55">
        <f>SUMIF($G$23:$G$41,$G$105,$T$23:$T$41)</f>
        <v>0</v>
      </c>
      <c r="U105" s="70"/>
      <c r="V105" s="13"/>
      <c r="W105" s="56"/>
      <c r="X105" s="267"/>
      <c r="Y105" s="267"/>
      <c r="Z105" s="91"/>
    </row>
    <row r="106" spans="2:26" s="238" customFormat="1" ht="15" customHeight="1">
      <c r="B106" s="493"/>
      <c r="C106" s="62"/>
      <c r="D106" s="63"/>
      <c r="E106" s="64"/>
      <c r="F106" s="65"/>
      <c r="G106" s="300" t="s">
        <v>375</v>
      </c>
      <c r="H106" s="66"/>
      <c r="I106" s="67"/>
      <c r="J106" s="13"/>
      <c r="K106" s="55">
        <f>SUMIF($G$23:$G$41,$G$106,$K$23:$K$41)</f>
        <v>9</v>
      </c>
      <c r="L106" s="55">
        <f>SUMIF($G$23:$G$41,$G$106,$L$23:$L$41)</f>
        <v>10</v>
      </c>
      <c r="M106" s="90"/>
      <c r="N106" s="69"/>
      <c r="O106" s="267"/>
      <c r="P106" s="57"/>
      <c r="Q106" s="267"/>
      <c r="R106" s="239">
        <f>SUMIF($G$23:$G$41,$G$106,$Q$23:$R$41)</f>
        <v>3.5000000000000003E-2</v>
      </c>
      <c r="S106" s="16"/>
      <c r="T106" s="55">
        <f>SUMIF($G$23:$G$41,$G$106,$T$23:$T$41)</f>
        <v>0</v>
      </c>
      <c r="U106" s="70"/>
      <c r="V106" s="13"/>
      <c r="W106" s="56"/>
      <c r="X106" s="267"/>
      <c r="Y106" s="267"/>
      <c r="Z106" s="91"/>
    </row>
    <row r="107" spans="2:26" s="238" customFormat="1" ht="15" customHeight="1" thickBot="1">
      <c r="B107" s="494"/>
      <c r="C107" s="72"/>
      <c r="D107" s="73"/>
      <c r="E107" s="74"/>
      <c r="F107" s="75"/>
      <c r="G107" s="302" t="s">
        <v>376</v>
      </c>
      <c r="H107" s="76"/>
      <c r="I107" s="77"/>
      <c r="J107" s="78"/>
      <c r="K107" s="92">
        <f>SUMIF($G$23:$G$41,$G$107,$K$23:$K$41)</f>
        <v>36</v>
      </c>
      <c r="L107" s="92">
        <f>SUMIF($G$23:$G$41,$G$107,$L$23:$L$41)</f>
        <v>40</v>
      </c>
      <c r="M107" s="93"/>
      <c r="N107" s="80"/>
      <c r="O107" s="81"/>
      <c r="P107" s="82"/>
      <c r="Q107" s="81"/>
      <c r="R107" s="240">
        <f>SUMIF($G$23:$G$41,$G$107,$Q$23:$R$41)</f>
        <v>0.14000000000000001</v>
      </c>
      <c r="S107" s="83"/>
      <c r="T107" s="92">
        <f>SUMIF($G$23:$G$41,$G$107,$T$23:$T$41)</f>
        <v>0</v>
      </c>
      <c r="U107" s="85"/>
      <c r="V107" s="78"/>
      <c r="W107" s="86"/>
      <c r="X107" s="81"/>
      <c r="Y107" s="81"/>
      <c r="Z107" s="94"/>
    </row>
    <row r="108" spans="2:26" s="238" customFormat="1" ht="15" customHeight="1">
      <c r="B108" s="495" t="s">
        <v>614</v>
      </c>
      <c r="C108" s="448"/>
      <c r="D108" s="449"/>
      <c r="E108" s="428"/>
      <c r="F108" s="429"/>
      <c r="G108" s="443" t="s">
        <v>421</v>
      </c>
      <c r="H108" s="431"/>
      <c r="I108" s="426"/>
      <c r="J108" s="433"/>
      <c r="K108" s="450">
        <f>SUMIF($G$44:$G$49,G108,$K$44:$K$49)</f>
        <v>0</v>
      </c>
      <c r="L108" s="450">
        <f>SUMIF($G$44:$G$49,G108,$L$44:$L$49)</f>
        <v>0</v>
      </c>
      <c r="M108" s="451"/>
      <c r="N108" s="436"/>
      <c r="O108" s="452"/>
      <c r="P108" s="452"/>
      <c r="Q108" s="452">
        <f>SUMIF($G$44:$G$49,G108,$Q$44:$Q$49)</f>
        <v>0</v>
      </c>
      <c r="R108" s="453">
        <f>SUMIF($G$44:$G$49,G108,$R$44:$R$49)</f>
        <v>0</v>
      </c>
      <c r="S108" s="454"/>
      <c r="T108" s="455">
        <f>SUMIF($G$44:$G$49,G108,$T$44:$T$49)</f>
        <v>0</v>
      </c>
      <c r="U108" s="456"/>
      <c r="V108" s="433"/>
      <c r="W108" s="440"/>
      <c r="X108" s="452"/>
      <c r="Y108" s="453"/>
      <c r="Z108" s="441"/>
    </row>
    <row r="109" spans="2:26" s="238" customFormat="1" ht="15" customHeight="1">
      <c r="B109" s="496"/>
      <c r="C109" s="95"/>
      <c r="D109" s="96"/>
      <c r="E109" s="64"/>
      <c r="F109" s="65"/>
      <c r="G109" s="298" t="s">
        <v>369</v>
      </c>
      <c r="H109" s="66"/>
      <c r="I109" s="62"/>
      <c r="J109" s="13"/>
      <c r="K109" s="243">
        <f t="shared" ref="K109:K115" si="13">SUMIF($G$44:$G$49,G109,$K$44:$K$49)</f>
        <v>0</v>
      </c>
      <c r="L109" s="243">
        <f t="shared" ref="L109:L115" si="14">SUMIF($G$44:$G$49,G109,$L$44:$L$49)</f>
        <v>0</v>
      </c>
      <c r="M109" s="97"/>
      <c r="N109" s="69"/>
      <c r="O109" s="15"/>
      <c r="P109" s="15"/>
      <c r="Q109" s="15">
        <f t="shared" ref="Q109:Q115" si="15">SUMIF($G$44:$G$49,G109,$Q$44:$Q$49)</f>
        <v>0.2</v>
      </c>
      <c r="R109" s="268">
        <f t="shared" ref="R109:R115" si="16">SUMIF($G$44:$G$49,G109,$R$44:$R$49)</f>
        <v>0.2</v>
      </c>
      <c r="S109" s="98"/>
      <c r="T109" s="58">
        <f t="shared" ref="T109:T115" si="17">SUMIF($G$44:$G$49,G109,$T$44:$T$49)</f>
        <v>0</v>
      </c>
      <c r="U109" s="99"/>
      <c r="V109" s="13"/>
      <c r="W109" s="56"/>
      <c r="X109" s="15"/>
      <c r="Y109" s="268"/>
      <c r="Z109" s="71"/>
    </row>
    <row r="110" spans="2:26" s="238" customFormat="1" ht="15" customHeight="1">
      <c r="B110" s="496"/>
      <c r="C110" s="95"/>
      <c r="D110" s="96"/>
      <c r="E110" s="64"/>
      <c r="F110" s="65"/>
      <c r="G110" s="300" t="s">
        <v>371</v>
      </c>
      <c r="H110" s="66"/>
      <c r="I110" s="62"/>
      <c r="J110" s="13"/>
      <c r="K110" s="243">
        <f t="shared" si="13"/>
        <v>0</v>
      </c>
      <c r="L110" s="243">
        <f t="shared" si="14"/>
        <v>0</v>
      </c>
      <c r="M110" s="97"/>
      <c r="N110" s="69"/>
      <c r="O110" s="15"/>
      <c r="P110" s="15"/>
      <c r="Q110" s="15">
        <f t="shared" si="15"/>
        <v>0</v>
      </c>
      <c r="R110" s="268">
        <f t="shared" si="16"/>
        <v>0</v>
      </c>
      <c r="S110" s="98"/>
      <c r="T110" s="58">
        <f t="shared" si="17"/>
        <v>0</v>
      </c>
      <c r="U110" s="99"/>
      <c r="V110" s="13"/>
      <c r="W110" s="56"/>
      <c r="X110" s="15"/>
      <c r="Y110" s="268"/>
      <c r="Z110" s="71"/>
    </row>
    <row r="111" spans="2:26" s="238" customFormat="1" ht="15" customHeight="1">
      <c r="B111" s="496"/>
      <c r="C111" s="95"/>
      <c r="D111" s="96"/>
      <c r="E111" s="64"/>
      <c r="F111" s="65"/>
      <c r="G111" s="301" t="s">
        <v>372</v>
      </c>
      <c r="H111" s="66"/>
      <c r="I111" s="62"/>
      <c r="J111" s="13"/>
      <c r="K111" s="243">
        <f t="shared" si="13"/>
        <v>0</v>
      </c>
      <c r="L111" s="243">
        <f t="shared" si="14"/>
        <v>0</v>
      </c>
      <c r="M111" s="97"/>
      <c r="N111" s="69"/>
      <c r="O111" s="15"/>
      <c r="P111" s="15"/>
      <c r="Q111" s="15">
        <f t="shared" si="15"/>
        <v>0</v>
      </c>
      <c r="R111" s="268">
        <f t="shared" si="16"/>
        <v>0</v>
      </c>
      <c r="S111" s="98"/>
      <c r="T111" s="58">
        <f t="shared" si="17"/>
        <v>0</v>
      </c>
      <c r="U111" s="99"/>
      <c r="V111" s="13"/>
      <c r="W111" s="56"/>
      <c r="X111" s="15"/>
      <c r="Y111" s="268"/>
      <c r="Z111" s="71"/>
    </row>
    <row r="112" spans="2:26" s="238" customFormat="1" ht="15" customHeight="1">
      <c r="B112" s="496"/>
      <c r="C112" s="95"/>
      <c r="D112" s="96"/>
      <c r="E112" s="64"/>
      <c r="F112" s="65"/>
      <c r="G112" s="298" t="s">
        <v>374</v>
      </c>
      <c r="H112" s="66"/>
      <c r="I112" s="62"/>
      <c r="J112" s="13"/>
      <c r="K112" s="243">
        <f t="shared" si="13"/>
        <v>0</v>
      </c>
      <c r="L112" s="243">
        <f t="shared" si="14"/>
        <v>0</v>
      </c>
      <c r="M112" s="97"/>
      <c r="N112" s="69"/>
      <c r="O112" s="15"/>
      <c r="P112" s="15"/>
      <c r="Q112" s="15">
        <f t="shared" si="15"/>
        <v>0</v>
      </c>
      <c r="R112" s="268">
        <f t="shared" si="16"/>
        <v>0</v>
      </c>
      <c r="S112" s="98"/>
      <c r="T112" s="58">
        <f t="shared" si="17"/>
        <v>0</v>
      </c>
      <c r="U112" s="99"/>
      <c r="V112" s="13"/>
      <c r="W112" s="56"/>
      <c r="X112" s="15"/>
      <c r="Y112" s="268"/>
      <c r="Z112" s="71"/>
    </row>
    <row r="113" spans="2:26" s="238" customFormat="1" ht="15" customHeight="1">
      <c r="B113" s="496"/>
      <c r="C113" s="95"/>
      <c r="D113" s="96"/>
      <c r="E113" s="64"/>
      <c r="F113" s="65"/>
      <c r="G113" s="300" t="s">
        <v>373</v>
      </c>
      <c r="H113" s="66"/>
      <c r="I113" s="62"/>
      <c r="J113" s="13"/>
      <c r="K113" s="243">
        <f t="shared" si="13"/>
        <v>0</v>
      </c>
      <c r="L113" s="243">
        <f t="shared" si="14"/>
        <v>0</v>
      </c>
      <c r="M113" s="97"/>
      <c r="N113" s="69"/>
      <c r="O113" s="15"/>
      <c r="P113" s="15"/>
      <c r="Q113" s="15">
        <f t="shared" si="15"/>
        <v>0</v>
      </c>
      <c r="R113" s="268">
        <f t="shared" si="16"/>
        <v>0</v>
      </c>
      <c r="S113" s="98"/>
      <c r="T113" s="58">
        <f t="shared" si="17"/>
        <v>0</v>
      </c>
      <c r="U113" s="99"/>
      <c r="V113" s="13"/>
      <c r="W113" s="56"/>
      <c r="X113" s="15"/>
      <c r="Y113" s="268"/>
      <c r="Z113" s="71"/>
    </row>
    <row r="114" spans="2:26" s="238" customFormat="1" ht="15" customHeight="1">
      <c r="B114" s="496"/>
      <c r="C114" s="95"/>
      <c r="D114" s="96"/>
      <c r="E114" s="64"/>
      <c r="F114" s="65"/>
      <c r="G114" s="300" t="s">
        <v>375</v>
      </c>
      <c r="H114" s="66"/>
      <c r="I114" s="62"/>
      <c r="J114" s="13"/>
      <c r="K114" s="243">
        <f t="shared" si="13"/>
        <v>0</v>
      </c>
      <c r="L114" s="243">
        <f t="shared" si="14"/>
        <v>0</v>
      </c>
      <c r="M114" s="97"/>
      <c r="N114" s="69"/>
      <c r="O114" s="15"/>
      <c r="P114" s="15"/>
      <c r="Q114" s="15">
        <f t="shared" si="15"/>
        <v>0</v>
      </c>
      <c r="R114" s="268">
        <f t="shared" si="16"/>
        <v>0</v>
      </c>
      <c r="S114" s="98"/>
      <c r="T114" s="58">
        <f t="shared" si="17"/>
        <v>0</v>
      </c>
      <c r="U114" s="99"/>
      <c r="V114" s="13"/>
      <c r="W114" s="56"/>
      <c r="X114" s="15"/>
      <c r="Y114" s="268"/>
      <c r="Z114" s="71"/>
    </row>
    <row r="115" spans="2:26" s="238" customFormat="1" ht="15" customHeight="1" thickBot="1">
      <c r="B115" s="497"/>
      <c r="C115" s="457"/>
      <c r="D115" s="458"/>
      <c r="E115" s="74"/>
      <c r="F115" s="75"/>
      <c r="G115" s="302" t="s">
        <v>376</v>
      </c>
      <c r="H115" s="76"/>
      <c r="I115" s="72"/>
      <c r="J115" s="78"/>
      <c r="K115" s="244">
        <f t="shared" si="13"/>
        <v>0</v>
      </c>
      <c r="L115" s="244">
        <f t="shared" si="14"/>
        <v>0</v>
      </c>
      <c r="M115" s="459"/>
      <c r="N115" s="80"/>
      <c r="O115" s="84"/>
      <c r="P115" s="84"/>
      <c r="Q115" s="84">
        <f t="shared" si="15"/>
        <v>0.1</v>
      </c>
      <c r="R115" s="460">
        <f t="shared" si="16"/>
        <v>0.1</v>
      </c>
      <c r="S115" s="461"/>
      <c r="T115" s="241">
        <f t="shared" si="17"/>
        <v>0</v>
      </c>
      <c r="U115" s="462"/>
      <c r="V115" s="78"/>
      <c r="W115" s="86"/>
      <c r="X115" s="84"/>
      <c r="Y115" s="460"/>
      <c r="Z115" s="87"/>
    </row>
  </sheetData>
  <mergeCells count="67">
    <mergeCell ref="Z3:Z6"/>
    <mergeCell ref="I4:J4"/>
    <mergeCell ref="K4:L4"/>
    <mergeCell ref="O4:P4"/>
    <mergeCell ref="Q4:R4"/>
    <mergeCell ref="V4:W4"/>
    <mergeCell ref="X4:Y4"/>
    <mergeCell ref="G1:K1"/>
    <mergeCell ref="U1:V1"/>
    <mergeCell ref="G3:G6"/>
    <mergeCell ref="H3:H6"/>
    <mergeCell ref="I3:L3"/>
    <mergeCell ref="M3:T3"/>
    <mergeCell ref="U3:Y3"/>
    <mergeCell ref="C22:G22"/>
    <mergeCell ref="O22:P22"/>
    <mergeCell ref="Q22:R22"/>
    <mergeCell ref="O23:P23"/>
    <mergeCell ref="Q23:R23"/>
    <mergeCell ref="B3:B6"/>
    <mergeCell ref="C3:C6"/>
    <mergeCell ref="D3:D6"/>
    <mergeCell ref="E3:E6"/>
    <mergeCell ref="F3:F6"/>
    <mergeCell ref="O27:P27"/>
    <mergeCell ref="Q27:R27"/>
    <mergeCell ref="O28:P28"/>
    <mergeCell ref="Q28:R28"/>
    <mergeCell ref="O29:P29"/>
    <mergeCell ref="Q29:R29"/>
    <mergeCell ref="O24:P24"/>
    <mergeCell ref="Q24:R24"/>
    <mergeCell ref="O25:P25"/>
    <mergeCell ref="Q25:R25"/>
    <mergeCell ref="O26:P26"/>
    <mergeCell ref="Q26:R26"/>
    <mergeCell ref="Q42:R42"/>
    <mergeCell ref="O36:P36"/>
    <mergeCell ref="Q36:R36"/>
    <mergeCell ref="O30:P30"/>
    <mergeCell ref="Q30:R30"/>
    <mergeCell ref="O31:P31"/>
    <mergeCell ref="Q31:R31"/>
    <mergeCell ref="O32:P32"/>
    <mergeCell ref="Q32:R32"/>
    <mergeCell ref="O33:P33"/>
    <mergeCell ref="Q33:R33"/>
    <mergeCell ref="O34:P34"/>
    <mergeCell ref="Q34:R34"/>
    <mergeCell ref="O35:P35"/>
    <mergeCell ref="Q35:R35"/>
    <mergeCell ref="B100:B107"/>
    <mergeCell ref="B108:B115"/>
    <mergeCell ref="F64:L64"/>
    <mergeCell ref="O40:P40"/>
    <mergeCell ref="O37:P37"/>
    <mergeCell ref="B92:B99"/>
    <mergeCell ref="O64:S64"/>
    <mergeCell ref="Q37:R37"/>
    <mergeCell ref="O38:P38"/>
    <mergeCell ref="Q38:R38"/>
    <mergeCell ref="O39:P39"/>
    <mergeCell ref="Q39:R39"/>
    <mergeCell ref="Q40:R40"/>
    <mergeCell ref="O41:P41"/>
    <mergeCell ref="Q41:R41"/>
    <mergeCell ref="O42:P42"/>
  </mergeCells>
  <phoneticPr fontId="4"/>
  <dataValidations count="1">
    <dataValidation type="list" allowBlank="1" showInputMessage="1" showErrorMessage="1" sqref="G44:G49 G23:G41" xr:uid="{00000000-0002-0000-0600-000002000000}">
      <formula1>$O$65:$O$72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C65:C8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料金単価!$B$34:$B$35</xm:f>
          </x14:formula1>
          <xm:sqref>U1:V1</xm:sqref>
        </x14:dataValidation>
        <x14:dataValidation type="list" allowBlank="1" showInputMessage="1" showErrorMessage="1" xr:uid="{00000000-0002-0000-0600-000001000000}">
          <x14:formula1>
            <xm:f>室名リスト!$J$3:$J$56</xm:f>
          </x14:formula1>
          <xm:sqref>G1:K1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X180"/>
  <sheetViews>
    <sheetView view="pageBreakPreview" topLeftCell="A16" zoomScaleNormal="115" zoomScaleSheetLayoutView="100" workbookViewId="0">
      <pane ySplit="4110" topLeftCell="A24" activePane="bottomLeft"/>
      <selection activeCell="J17" sqref="J17:K17"/>
      <selection pane="bottomLeft" activeCell="AH34" sqref="AH34:AK34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50" width="8.125" style="89" customWidth="1"/>
    <col min="51" max="76" width="3.625" style="89" customWidth="1"/>
    <col min="77" max="256" width="9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9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9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9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9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9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9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9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9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9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9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9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9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9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9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9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9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9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9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9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9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9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9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9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9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9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9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9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9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9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9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9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9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9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9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9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9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9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9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9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9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9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9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9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9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9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9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9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9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9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9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9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9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9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9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9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9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9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9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9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9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9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9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9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SUMIF(料金単価!$B$32:$B$32,'様式11-6⑧'!$Y$1,料金単価!$A$32:$A$32)</f>
        <v>0</v>
      </c>
      <c r="Y1" s="937" t="s">
        <v>379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99"/>
      <c r="L2" s="199"/>
      <c r="M2" s="247"/>
      <c r="N2" s="247"/>
      <c r="O2" s="247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45"/>
      <c r="K7" s="946"/>
      <c r="L7" s="947"/>
      <c r="M7" s="948"/>
      <c r="N7" s="947"/>
      <c r="O7" s="948"/>
      <c r="P7" s="947"/>
      <c r="Q7" s="948"/>
      <c r="R7" s="945"/>
      <c r="S7" s="946"/>
      <c r="T7" s="972"/>
      <c r="U7" s="973"/>
      <c r="V7" s="945"/>
      <c r="W7" s="946"/>
      <c r="X7" s="947"/>
      <c r="Y7" s="946"/>
      <c r="Z7" s="947"/>
      <c r="AA7" s="946"/>
      <c r="AB7" s="947"/>
      <c r="AC7" s="974"/>
      <c r="AD7" s="945"/>
      <c r="AE7" s="946"/>
      <c r="AF7" s="947"/>
      <c r="AG7" s="948"/>
      <c r="AH7" s="960"/>
      <c r="AI7" s="961"/>
      <c r="AJ7" s="962"/>
      <c r="AK7" s="963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66"/>
      <c r="K8" s="967"/>
      <c r="L8" s="967"/>
      <c r="M8" s="967"/>
      <c r="N8" s="967"/>
      <c r="O8" s="967"/>
      <c r="P8" s="967"/>
      <c r="Q8" s="968"/>
      <c r="R8" s="969"/>
      <c r="S8" s="970"/>
      <c r="T8" s="958"/>
      <c r="U8" s="971"/>
      <c r="V8" s="966"/>
      <c r="W8" s="967"/>
      <c r="X8" s="967"/>
      <c r="Y8" s="967"/>
      <c r="Z8" s="967"/>
      <c r="AA8" s="967"/>
      <c r="AB8" s="967"/>
      <c r="AC8" s="968"/>
      <c r="AD8" s="969"/>
      <c r="AE8" s="970"/>
      <c r="AF8" s="958"/>
      <c r="AG8" s="959"/>
      <c r="AH8" s="960"/>
      <c r="AI8" s="961"/>
      <c r="AJ8" s="962"/>
      <c r="AK8" s="963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977"/>
      <c r="K9" s="978"/>
      <c r="L9" s="978"/>
      <c r="M9" s="978"/>
      <c r="N9" s="978"/>
      <c r="O9" s="978"/>
      <c r="P9" s="978"/>
      <c r="Q9" s="978"/>
      <c r="R9" s="955"/>
      <c r="S9" s="956"/>
      <c r="T9" s="956"/>
      <c r="U9" s="957"/>
      <c r="V9" s="955"/>
      <c r="W9" s="956"/>
      <c r="X9" s="956"/>
      <c r="Y9" s="956"/>
      <c r="Z9" s="956"/>
      <c r="AA9" s="956"/>
      <c r="AB9" s="956"/>
      <c r="AC9" s="957"/>
      <c r="AD9" s="955"/>
      <c r="AE9" s="956"/>
      <c r="AF9" s="956"/>
      <c r="AG9" s="957"/>
      <c r="AH9" s="975"/>
      <c r="AI9" s="976"/>
      <c r="AJ9" s="962"/>
      <c r="AK9" s="963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949"/>
      <c r="K10" s="950"/>
      <c r="L10" s="950"/>
      <c r="M10" s="950"/>
      <c r="N10" s="950"/>
      <c r="O10" s="950"/>
      <c r="P10" s="950"/>
      <c r="Q10" s="951"/>
      <c r="R10" s="952"/>
      <c r="S10" s="953"/>
      <c r="T10" s="953"/>
      <c r="U10" s="954"/>
      <c r="V10" s="952"/>
      <c r="W10" s="953"/>
      <c r="X10" s="997"/>
      <c r="Y10" s="998"/>
      <c r="Z10" s="997"/>
      <c r="AA10" s="998"/>
      <c r="AB10" s="997"/>
      <c r="AC10" s="999"/>
      <c r="AD10" s="952"/>
      <c r="AE10" s="953"/>
      <c r="AF10" s="953"/>
      <c r="AG10" s="954"/>
      <c r="AH10" s="1000"/>
      <c r="AI10" s="964"/>
      <c r="AJ10" s="964"/>
      <c r="AK10" s="965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992"/>
      <c r="K11" s="993"/>
      <c r="L11" s="993"/>
      <c r="M11" s="993"/>
      <c r="N11" s="993"/>
      <c r="O11" s="993"/>
      <c r="P11" s="993"/>
      <c r="Q11" s="994"/>
      <c r="R11" s="995"/>
      <c r="S11" s="986"/>
      <c r="T11" s="982"/>
      <c r="U11" s="983"/>
      <c r="V11" s="996"/>
      <c r="W11" s="984"/>
      <c r="X11" s="984"/>
      <c r="Y11" s="984"/>
      <c r="Z11" s="984"/>
      <c r="AA11" s="984"/>
      <c r="AB11" s="984"/>
      <c r="AC11" s="985"/>
      <c r="AD11" s="981"/>
      <c r="AE11" s="982"/>
      <c r="AF11" s="986"/>
      <c r="AG11" s="987"/>
      <c r="AH11" s="988"/>
      <c r="AI11" s="989"/>
      <c r="AJ11" s="990"/>
      <c r="AK11" s="991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979"/>
      <c r="K12" s="980"/>
      <c r="L12" s="980"/>
      <c r="M12" s="980"/>
      <c r="N12" s="980"/>
      <c r="O12" s="980"/>
      <c r="P12" s="980"/>
      <c r="Q12" s="980"/>
      <c r="R12" s="981"/>
      <c r="S12" s="982"/>
      <c r="T12" s="982"/>
      <c r="U12" s="983"/>
      <c r="V12" s="955"/>
      <c r="W12" s="956"/>
      <c r="X12" s="956"/>
      <c r="Y12" s="956"/>
      <c r="Z12" s="956"/>
      <c r="AA12" s="956"/>
      <c r="AB12" s="956"/>
      <c r="AC12" s="957"/>
      <c r="AD12" s="981"/>
      <c r="AE12" s="982"/>
      <c r="AF12" s="982"/>
      <c r="AG12" s="1008"/>
      <c r="AH12" s="988"/>
      <c r="AI12" s="989"/>
      <c r="AJ12" s="989"/>
      <c r="AK12" s="100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949"/>
      <c r="K13" s="950"/>
      <c r="L13" s="950"/>
      <c r="M13" s="950"/>
      <c r="N13" s="950"/>
      <c r="O13" s="950"/>
      <c r="P13" s="950"/>
      <c r="Q13" s="951"/>
      <c r="R13" s="952"/>
      <c r="S13" s="953"/>
      <c r="T13" s="953"/>
      <c r="U13" s="997"/>
      <c r="V13" s="1007"/>
      <c r="W13" s="1004"/>
      <c r="X13" s="1003"/>
      <c r="Y13" s="1004"/>
      <c r="Z13" s="1003"/>
      <c r="AA13" s="1004"/>
      <c r="AB13" s="1003"/>
      <c r="AC13" s="1005"/>
      <c r="AD13" s="952"/>
      <c r="AE13" s="953"/>
      <c r="AF13" s="953"/>
      <c r="AG13" s="954"/>
      <c r="AH13" s="1000"/>
      <c r="AI13" s="964"/>
      <c r="AJ13" s="964"/>
      <c r="AK13" s="965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979"/>
      <c r="K14" s="980"/>
      <c r="L14" s="1001"/>
      <c r="M14" s="1001"/>
      <c r="N14" s="982"/>
      <c r="O14" s="982"/>
      <c r="P14" s="1001"/>
      <c r="Q14" s="1002"/>
      <c r="R14" s="981"/>
      <c r="S14" s="982"/>
      <c r="T14" s="982"/>
      <c r="U14" s="983"/>
      <c r="V14" s="981"/>
      <c r="W14" s="982"/>
      <c r="X14" s="982"/>
      <c r="Y14" s="982"/>
      <c r="Z14" s="982"/>
      <c r="AA14" s="982"/>
      <c r="AB14" s="982"/>
      <c r="AC14" s="1008"/>
      <c r="AD14" s="981"/>
      <c r="AE14" s="982"/>
      <c r="AF14" s="982"/>
      <c r="AG14" s="1008"/>
      <c r="AH14" s="988"/>
      <c r="AI14" s="989"/>
      <c r="AJ14" s="989"/>
      <c r="AK14" s="100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1019"/>
      <c r="K15" s="1020"/>
      <c r="L15" s="1021"/>
      <c r="M15" s="1022"/>
      <c r="N15" s="1021"/>
      <c r="O15" s="1022"/>
      <c r="P15" s="1021"/>
      <c r="Q15" s="1023"/>
      <c r="R15" s="1024"/>
      <c r="S15" s="1013"/>
      <c r="T15" s="1013"/>
      <c r="U15" s="1025"/>
      <c r="V15" s="1024"/>
      <c r="W15" s="1013"/>
      <c r="X15" s="1013"/>
      <c r="Y15" s="1013"/>
      <c r="Z15" s="1013"/>
      <c r="AA15" s="1013"/>
      <c r="AB15" s="1013"/>
      <c r="AC15" s="1014"/>
      <c r="AD15" s="1015"/>
      <c r="AE15" s="1013"/>
      <c r="AF15" s="1013"/>
      <c r="AG15" s="1014"/>
      <c r="AH15" s="1016"/>
      <c r="AI15" s="1017"/>
      <c r="AJ15" s="1017"/>
      <c r="AK15" s="1018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1009" t="s">
        <v>235</v>
      </c>
      <c r="K16" s="978"/>
      <c r="L16" s="886">
        <f>'様式11-6①'!L16:M16+'様式11-6②'!L16:M16+'様式11-6③'!L16:M16+'様式11-6④'!L16:M16+'様式11-6⑤'!L16:M16+'様式11-6⑥'!L16:M16+'様式11-6⑦'!L16:M16+'様式11-6⑧'!L16:M16</f>
        <v>1701.3825882352944</v>
      </c>
      <c r="M16" s="886"/>
      <c r="N16" s="886">
        <f>'様式11-6①'!N16:O16+'様式11-6②'!N16:O16+'様式11-6③'!N16:O16+'様式11-6④'!N16:O16+'様式11-6⑤'!N16:O16+'様式11-6⑥'!N16:O16+'様式11-6⑦'!N16:O16+'様式11-6⑧'!N16:O16</f>
        <v>1730.5468235294122</v>
      </c>
      <c r="O16" s="886"/>
      <c r="P16" s="861">
        <f>'様式11-6①'!P16:Q16+'様式11-6②'!P16:Q16+'様式11-6③'!P16:Q16+'様式11-6④'!P16:Q16+'様式11-6⑤'!P16:Q16+'様式11-6⑥'!P16:Q16+'様式11-6⑦'!P16:Q16+'様式11-6⑧'!P16:Q16</f>
        <v>908.82352941176487</v>
      </c>
      <c r="Q16" s="1010"/>
      <c r="R16" s="1009" t="s">
        <v>235</v>
      </c>
      <c r="S16" s="978"/>
      <c r="T16" s="1011" t="s">
        <v>235</v>
      </c>
      <c r="U16" s="1012"/>
      <c r="V16" s="1009" t="s">
        <v>235</v>
      </c>
      <c r="W16" s="978"/>
      <c r="X16" s="978" t="s">
        <v>235</v>
      </c>
      <c r="Y16" s="978"/>
      <c r="Z16" s="978" t="s">
        <v>235</v>
      </c>
      <c r="AA16" s="978"/>
      <c r="AB16" s="1011" t="s">
        <v>235</v>
      </c>
      <c r="AC16" s="1012"/>
      <c r="AD16" s="1009" t="s">
        <v>235</v>
      </c>
      <c r="AE16" s="978"/>
      <c r="AF16" s="1011" t="s">
        <v>235</v>
      </c>
      <c r="AG16" s="1012"/>
      <c r="AH16" s="1028">
        <f t="shared" ref="AH16:AH23" si="0">SUM(J16:AG16)</f>
        <v>4340.7529411764717</v>
      </c>
      <c r="AI16" s="820"/>
      <c r="AJ16" s="820">
        <f>SUM(AH16:AI17)</f>
        <v>31527.455999999998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79">
        <f>'様式11-6①'!J17:K17+'様式11-6②'!J17:K17+'様式11-6③'!J17:K17+'様式11-6④'!J17:K17+'様式11-6⑤'!J17:K17+'様式11-6⑥'!J17:K17+'様式11-6⑦'!J17:K17+'様式11-6⑧'!J17:K17</f>
        <v>762.88235294117658</v>
      </c>
      <c r="K17" s="797"/>
      <c r="L17" s="950" t="s">
        <v>235</v>
      </c>
      <c r="M17" s="950"/>
      <c r="N17" s="950" t="s">
        <v>235</v>
      </c>
      <c r="O17" s="950"/>
      <c r="P17" s="950" t="s">
        <v>235</v>
      </c>
      <c r="Q17" s="951"/>
      <c r="R17" s="849">
        <f>'様式11-6①'!R17:S17+'様式11-6②'!R17:S17+'様式11-6③'!R17:S17+'様式11-6④'!R17:S17+'様式11-6⑤'!R17:S17+'様式11-6⑥'!R17:S17+'様式11-6⑦'!R17:S17+'様式11-6⑧'!R17:S17</f>
        <v>223.20000000000002</v>
      </c>
      <c r="S17" s="797"/>
      <c r="T17" s="797">
        <f>'様式11-6①'!T17:U17+'様式11-6②'!T17:U17+'様式11-6③'!T17:U17+'様式11-6④'!T17:U17+'様式11-6⑤'!T17:U17+'様式11-6⑥'!T17:U17+'様式11-6⑦'!T17:U17+'様式11-6⑧'!T17:U17</f>
        <v>216.00000000000006</v>
      </c>
      <c r="U17" s="799"/>
      <c r="V17" s="849">
        <f>'様式11-6①'!V17:W17+'様式11-6②'!V17:W17+'様式11-6③'!V17:W17+'様式11-6④'!V17:W17+'様式11-6⑤'!V17:W17+'様式11-6⑥'!V17:W17+'様式11-6⑦'!V17:W17+'様式11-6⑧'!V17:W17</f>
        <v>6284.6710588235301</v>
      </c>
      <c r="W17" s="797"/>
      <c r="X17" s="797">
        <f>'様式11-6①'!X17:Y17+'様式11-6②'!X17:Y17+'様式11-6③'!X17:Y17+'様式11-6④'!X17:Y17+'様式11-6⑤'!X17:Y17+'様式11-6⑥'!X17:Y17+'様式11-6⑦'!X17:Y17+'様式11-6⑧'!X17:Y17</f>
        <v>7904.9025882352935</v>
      </c>
      <c r="Y17" s="797"/>
      <c r="Z17" s="797">
        <f>'様式11-6①'!Z17:AA17+'様式11-6②'!Z17:AA17+'様式11-6③'!Z17:AA17+'様式11-6④'!Z17:AA17+'様式11-6⑤'!Z17:AA17+'様式11-6⑥'!Z17:AA17+'様式11-6⑦'!Z17:AA17+'様式11-6⑧'!Z17:AA17</f>
        <v>7732.376470588234</v>
      </c>
      <c r="AA17" s="797"/>
      <c r="AB17" s="797">
        <f>'様式11-6①'!AB17:AC17+'様式11-6②'!AB17:AC17+'様式11-6③'!AB17:AC17+'様式11-6④'!AB17:AC17+'様式11-6⑤'!AB17:AC17+'様式11-6⑥'!AB17:AC17+'様式11-6⑦'!AB17:AC17+'様式11-6⑧'!AB17:AC17</f>
        <v>3623.4705882352937</v>
      </c>
      <c r="AC17" s="799"/>
      <c r="AD17" s="849">
        <f>'様式11-6①'!AD17:AE17+'様式11-6②'!AD17:AE17+'様式11-6③'!AD17:AE17+'様式11-6④'!AD17:AE17+'様式11-6⑤'!AD17:AE17+'様式11-6⑥'!AD17:AE17+'様式11-6⑦'!AD17:AE17+'様式11-6⑧'!AD17:AE17</f>
        <v>216.00000000000006</v>
      </c>
      <c r="AE17" s="797"/>
      <c r="AF17" s="797">
        <f>'様式11-6①'!AF17:AG17+'様式11-6②'!AF17:AG17+'様式11-6③'!AF17:AG17+'様式11-6④'!AF17:AG17+'様式11-6⑤'!AF17:AG17+'様式11-6⑥'!AF17:AG17+'様式11-6⑦'!AF17:AG17+'様式11-6⑧'!AF17:AG17</f>
        <v>223.20000000000002</v>
      </c>
      <c r="AG17" s="799"/>
      <c r="AH17" s="828">
        <f t="shared" si="0"/>
        <v>27186.703058823528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1009" t="s">
        <v>235</v>
      </c>
      <c r="K18" s="978"/>
      <c r="L18" s="886">
        <f>'様式11-6①'!L18:M18+'様式11-6②'!L18:M18+'様式11-6③'!L18:M18+'様式11-6④'!L18:M18+'様式11-6⑤'!L18:M18+'様式11-6⑥'!L18:M18+'様式11-6⑦'!L18:M18+'様式11-6⑧'!L18:M18</f>
        <v>130.9</v>
      </c>
      <c r="M18" s="886"/>
      <c r="N18" s="886">
        <f>'様式11-6①'!N18:O18+'様式11-6②'!N18:O18+'様式11-6③'!N18:O18+'様式11-6④'!N18:O18+'様式11-6⑤'!N18:O18+'様式11-6⑥'!N18:O18+'様式11-6⑦'!N18:O18+'様式11-6⑧'!N18:O18</f>
        <v>116.60000000000001</v>
      </c>
      <c r="O18" s="886"/>
      <c r="P18" s="886">
        <f>'様式11-6①'!P18:Q18+'様式11-6②'!P18:Q18+'様式11-6③'!P18:Q18+'様式11-6④'!P18:Q18+'様式11-6⑤'!P18:Q18+'様式11-6⑥'!P18:Q18+'様式11-6⑦'!P18:Q18+'様式11-6⑧'!P18:Q18</f>
        <v>87.1</v>
      </c>
      <c r="Q18" s="1026"/>
      <c r="R18" s="1009" t="s">
        <v>235</v>
      </c>
      <c r="S18" s="978"/>
      <c r="T18" s="978" t="s">
        <v>235</v>
      </c>
      <c r="U18" s="1027"/>
      <c r="V18" s="1009" t="s">
        <v>235</v>
      </c>
      <c r="W18" s="978"/>
      <c r="X18" s="978" t="s">
        <v>235</v>
      </c>
      <c r="Y18" s="978"/>
      <c r="Z18" s="978" t="s">
        <v>235</v>
      </c>
      <c r="AA18" s="978"/>
      <c r="AB18" s="978" t="s">
        <v>235</v>
      </c>
      <c r="AC18" s="1027"/>
      <c r="AD18" s="1009" t="s">
        <v>235</v>
      </c>
      <c r="AE18" s="978"/>
      <c r="AF18" s="978" t="s">
        <v>235</v>
      </c>
      <c r="AG18" s="1027"/>
      <c r="AH18" s="1030">
        <f t="shared" si="0"/>
        <v>334.6</v>
      </c>
      <c r="AI18" s="931"/>
      <c r="AJ18" s="755">
        <f>SUM(AH18:AI19)</f>
        <v>902.4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849">
        <f>'様式11-6①'!J19:K19+'様式11-6②'!J19:K19+'様式11-6③'!J19:K19+'様式11-6④'!J19:K19+'様式11-6⑤'!J19:K19+'様式11-6⑥'!J19:K19+'様式11-6⑦'!J19:K19+'様式11-6⑧'!J19:K19</f>
        <v>100.5</v>
      </c>
      <c r="K19" s="797"/>
      <c r="L19" s="950" t="s">
        <v>235</v>
      </c>
      <c r="M19" s="950"/>
      <c r="N19" s="950" t="s">
        <v>235</v>
      </c>
      <c r="O19" s="950"/>
      <c r="P19" s="950" t="s">
        <v>235</v>
      </c>
      <c r="Q19" s="951"/>
      <c r="R19" s="849">
        <f>'様式11-6①'!R19:S19+'様式11-6②'!R19:S19+'様式11-6③'!R19:S19+'様式11-6④'!R19:S19+'様式11-6⑤'!R19:S19+'様式11-6⑥'!R19:S19+'様式11-6⑦'!R19:S19+'様式11-6⑧'!R19:S19</f>
        <v>0</v>
      </c>
      <c r="S19" s="797"/>
      <c r="T19" s="797">
        <f>'様式11-6①'!T19:U19+'様式11-6②'!T19:U19+'様式11-6③'!T19:U19+'様式11-6④'!T19:U19+'様式11-6⑤'!T19:U19+'様式11-6⑥'!T19:U19+'様式11-6⑦'!T19:U19+'様式11-6⑧'!T19:U19</f>
        <v>0</v>
      </c>
      <c r="U19" s="799"/>
      <c r="V19" s="849">
        <f>'様式11-6①'!V19:W19+'様式11-6②'!V19:W19+'様式11-6③'!V19:W19+'様式11-6④'!V19:W19+'様式11-6⑤'!V19:W19+'様式11-6⑥'!V19:W19+'様式11-6⑦'!V19:W19+'様式11-6⑧'!V19:W19</f>
        <v>129.80000000000001</v>
      </c>
      <c r="W19" s="797"/>
      <c r="X19" s="797">
        <f>'様式11-6①'!X19:Y19+'様式11-6②'!X19:Y19+'様式11-6③'!X19:Y19+'様式11-6④'!X19:Y19+'様式11-6⑤'!X19:Y19+'様式11-6⑥'!X19:Y19+'様式11-6⑦'!X19:Y19+'様式11-6⑧'!X19:Y19</f>
        <v>123.10000000000002</v>
      </c>
      <c r="Y19" s="797"/>
      <c r="Z19" s="797">
        <f>'様式11-6①'!Z19:AA19+'様式11-6②'!Z19:AA19+'様式11-6③'!Z19:AA19+'様式11-6④'!Z19:AA19+'様式11-6⑤'!Z19:AA19+'様式11-6⑥'!Z19:AA19+'様式11-6⑦'!Z19:AA19+'様式11-6⑧'!Z19:AA19</f>
        <v>120.6</v>
      </c>
      <c r="AA19" s="797"/>
      <c r="AB19" s="797">
        <f>'様式11-6①'!AB19:AC19+'様式11-6②'!AB19:AC19+'様式11-6③'!AB19:AC19+'様式11-6④'!AB19:AC19+'様式11-6⑤'!AB19:AC19+'様式11-6⑥'!AB19:AC19+'様式11-6⑦'!AB19:AC19+'様式11-6⑧'!AB19:AC19</f>
        <v>93.800000000000011</v>
      </c>
      <c r="AC19" s="799"/>
      <c r="AD19" s="849">
        <f>'様式11-6①'!AD19:AE19+'様式11-6②'!AD19:AE19+'様式11-6③'!AD19:AE19+'様式11-6④'!AD19:AE19+'様式11-6⑤'!AD19:AE19+'様式11-6⑥'!AD19:AE19+'様式11-6⑦'!AD19:AE19+'様式11-6⑧'!AD19:AE19</f>
        <v>0</v>
      </c>
      <c r="AE19" s="797"/>
      <c r="AF19" s="797">
        <f>'様式11-6①'!AF19:AG19+'様式11-6②'!AF19:AG19+'様式11-6③'!AF19:AG19+'様式11-6④'!AF19:AG19+'様式11-6⑤'!AF19:AG19+'様式11-6⑥'!AF19:AG19+'様式11-6⑦'!AF19:AG19+'様式11-6⑧'!AF19:AG19</f>
        <v>0</v>
      </c>
      <c r="AG19" s="799"/>
      <c r="AH19" s="1029">
        <f t="shared" si="0"/>
        <v>567.79999999999995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1009" t="s">
        <v>235</v>
      </c>
      <c r="K20" s="978"/>
      <c r="L20" s="886">
        <f>'様式11-6①'!L20:M20+'様式11-6②'!L20:M20+'様式11-6③'!L20:M20+'様式11-6④'!L20:M20+'様式11-6⑤'!L20:M20+'様式11-6⑥'!L20:M20+'様式11-6⑦'!L20:M20+'様式11-6⑧'!L20:M20</f>
        <v>53.2</v>
      </c>
      <c r="M20" s="886"/>
      <c r="N20" s="886">
        <f>'様式11-6①'!N20:O20+'様式11-6②'!N20:O20+'様式11-6③'!N20:O20+'様式11-6④'!N20:O20+'様式11-6⑤'!N20:O20+'様式11-6⑥'!N20:O20+'様式11-6⑦'!N20:O20+'様式11-6⑧'!N20:O20</f>
        <v>44</v>
      </c>
      <c r="O20" s="886"/>
      <c r="P20" s="886">
        <f>'様式11-6①'!P20:Q20+'様式11-6②'!P20:Q20+'様式11-6③'!P20:Q20+'様式11-6④'!P20:Q20+'様式11-6⑤'!P20:Q20+'様式11-6⑥'!P20:Q20+'様式11-6⑦'!P20:Q20+'様式11-6⑧'!P20:Q20</f>
        <v>36.4</v>
      </c>
      <c r="Q20" s="1026"/>
      <c r="R20" s="1009" t="s">
        <v>235</v>
      </c>
      <c r="S20" s="978"/>
      <c r="T20" s="978" t="s">
        <v>235</v>
      </c>
      <c r="U20" s="1027"/>
      <c r="V20" s="1009" t="s">
        <v>235</v>
      </c>
      <c r="W20" s="978"/>
      <c r="X20" s="978" t="s">
        <v>235</v>
      </c>
      <c r="Y20" s="978"/>
      <c r="Z20" s="978" t="s">
        <v>235</v>
      </c>
      <c r="AA20" s="978"/>
      <c r="AB20" s="978" t="s">
        <v>235</v>
      </c>
      <c r="AC20" s="1027"/>
      <c r="AD20" s="1009" t="s">
        <v>235</v>
      </c>
      <c r="AE20" s="978"/>
      <c r="AF20" s="978" t="s">
        <v>235</v>
      </c>
      <c r="AG20" s="1027"/>
      <c r="AH20" s="1039">
        <f t="shared" si="0"/>
        <v>133.6</v>
      </c>
      <c r="AI20" s="755"/>
      <c r="AJ20" s="755">
        <f>SUM(AH20:AI21)</f>
        <v>369.6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927">
        <f>'様式11-6①'!J21:K21+'様式11-6②'!J21:K21+'様式11-6③'!J21:K21+'様式11-6④'!J21:K21+'様式11-6⑤'!J21:K21+'様式11-6⑥'!J21:K21+'様式11-6⑦'!J21:K21+'様式11-6⑧'!J21:K21</f>
        <v>42</v>
      </c>
      <c r="K21" s="765"/>
      <c r="L21" s="1037" t="s">
        <v>235</v>
      </c>
      <c r="M21" s="1037"/>
      <c r="N21" s="1037" t="s">
        <v>235</v>
      </c>
      <c r="O21" s="1037"/>
      <c r="P21" s="1037" t="s">
        <v>235</v>
      </c>
      <c r="Q21" s="1038"/>
      <c r="R21" s="927">
        <f>'様式11-6①'!R21:S21+'様式11-6②'!R21:S21+'様式11-6③'!R21:S21+'様式11-6④'!R21:S21+'様式11-6⑤'!R21:S21+'様式11-6⑥'!R21:S21+'様式11-6⑦'!R21:S21+'様式11-6⑧'!R21:S21</f>
        <v>0</v>
      </c>
      <c r="S21" s="765"/>
      <c r="T21" s="765">
        <f>'様式11-6①'!T21:U21+'様式11-6②'!T21:U21+'様式11-6③'!T21:U21+'様式11-6④'!T21:U21+'様式11-6⑤'!T21:U21+'様式11-6⑥'!T21:U21+'様式11-6⑦'!T21:U21+'様式11-6⑧'!T21:U21</f>
        <v>0</v>
      </c>
      <c r="U21" s="767"/>
      <c r="V21" s="927">
        <f>'様式11-6①'!V21:W21+'様式11-6②'!V21:W21+'様式11-6③'!V21:W21+'様式11-6④'!V21:W21+'様式11-6⑤'!V21:W21+'様式11-6⑥'!V21:W21+'様式11-6⑦'!V21:W21+'様式11-6⑧'!V21:W21</f>
        <v>53.6</v>
      </c>
      <c r="W21" s="765"/>
      <c r="X21" s="765">
        <f>'様式11-6①'!X21:Y21+'様式11-6②'!X21:Y21+'様式11-6③'!X21:Y21+'様式11-6④'!X21:Y21+'様式11-6⑤'!X21:Y21+'様式11-6⑥'!X21:Y21+'様式11-6⑦'!X21:Y21+'様式11-6⑧'!X21:Y21</f>
        <v>50.8</v>
      </c>
      <c r="Y21" s="765"/>
      <c r="Z21" s="765">
        <f>'様式11-6①'!Z21:AA21+'様式11-6②'!Z21:AA21+'様式11-6③'!Z21:AA21+'様式11-6④'!Z21:AA21+'様式11-6⑤'!Z21:AA21+'様式11-6⑥'!Z21:AA21+'様式11-6⑦'!Z21:AA21+'様式11-6⑧'!Z21:AA21</f>
        <v>50.4</v>
      </c>
      <c r="AA21" s="765"/>
      <c r="AB21" s="765">
        <f>'様式11-6①'!AB21:AC21+'様式11-6②'!AB21:AC21+'様式11-6③'!AB21:AC21+'様式11-6④'!AB21:AC21+'様式11-6⑤'!AB21:AC21+'様式11-6⑥'!AB21:AC21+'様式11-6⑦'!AB21:AC21+'様式11-6⑧'!AB21:AC21</f>
        <v>39.200000000000003</v>
      </c>
      <c r="AC21" s="767"/>
      <c r="AD21" s="927">
        <f>'様式11-6①'!AD21:AE21+'様式11-6②'!AD21:AE21+'様式11-6③'!AD21:AE21+'様式11-6④'!AD21:AE21+'様式11-6⑤'!AD21:AE21+'様式11-6⑥'!AD21:AE21+'様式11-6⑦'!AD21:AE21+'様式11-6⑧'!AD21:AE21</f>
        <v>0</v>
      </c>
      <c r="AE21" s="765"/>
      <c r="AF21" s="765">
        <f>'様式11-6①'!AF21:AG21+'様式11-6②'!AF21:AG21+'様式11-6③'!AF21:AG21+'様式11-6④'!AF21:AG21+'様式11-6⑤'!AF21:AG21+'様式11-6⑥'!AF21:AG21+'様式11-6⑦'!AF21:AG21+'様式11-6⑧'!AF21:AG21</f>
        <v>0</v>
      </c>
      <c r="AG21" s="767"/>
      <c r="AH21" s="1036">
        <f t="shared" si="0"/>
        <v>236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1031">
        <f>'様式11-6①'!J22:K22+'様式11-6②'!J22:K22+'様式11-6③'!J22:K22+'様式11-6④'!J22:K22+'様式11-6⑤'!J22:K22+'様式11-6⑥'!J22:K22+'様式11-6⑦'!J22:K22+'様式11-6⑧'!J22:K22</f>
        <v>92.64705882352942</v>
      </c>
      <c r="K22" s="1032"/>
      <c r="L22" s="1032">
        <f>'様式11-6①'!L22:M22+'様式11-6②'!L22:M22+'様式11-6③'!L22:M22+'様式11-6④'!L22:M22+'様式11-6⑤'!L22:M22+'様式11-6⑥'!L22:M22+'様式11-6⑦'!L22:M22+'様式11-6⑧'!L22:M22</f>
        <v>240.96470588235292</v>
      </c>
      <c r="M22" s="1032"/>
      <c r="N22" s="1032">
        <f>'様式11-6①'!N22:O22+'様式11-6②'!N22:O22+'様式11-6③'!N22:O22+'様式11-6④'!N22:O22+'様式11-6⑤'!N22:O22+'様式11-6⑥'!N22:O22+'様式11-6⑦'!N22:O22+'様式11-6⑧'!N22:O22</f>
        <v>244.3294117647059</v>
      </c>
      <c r="O22" s="1032"/>
      <c r="P22" s="1032">
        <f>'様式11-6①'!P22:Q22+'様式11-6②'!P22:Q22+'様式11-6③'!P22:Q22+'様式11-6④'!P22:Q22+'様式11-6⑤'!P22:Q22+'様式11-6⑥'!P22:Q22+'様式11-6⑦'!P22:Q22+'様式11-6⑧'!P22:Q22</f>
        <v>114.70588235294117</v>
      </c>
      <c r="Q22" s="1033"/>
      <c r="R22" s="1031">
        <f>'様式11-6①'!R22:S22+'様式11-6②'!R22:S22+'様式11-6③'!R22:S22+'様式11-6④'!R22:S22+'様式11-6⑤'!R22:S22+'様式11-6⑥'!R22:S22+'様式11-6⑦'!R22:S22+'様式11-6⑧'!R22:S22</f>
        <v>0</v>
      </c>
      <c r="S22" s="1032"/>
      <c r="T22" s="1032">
        <f>'様式11-6①'!T22:U22+'様式11-6②'!T22:U22+'様式11-6③'!T22:U22+'様式11-6④'!T22:U22+'様式11-6⑤'!T22:U22+'様式11-6⑥'!T22:U22+'様式11-6⑦'!T22:U22+'様式11-6⑧'!T22:U22</f>
        <v>0</v>
      </c>
      <c r="U22" s="1033"/>
      <c r="V22" s="1034" t="s">
        <v>235</v>
      </c>
      <c r="W22" s="1035"/>
      <c r="X22" s="1035" t="s">
        <v>235</v>
      </c>
      <c r="Y22" s="1035"/>
      <c r="Z22" s="1035" t="s">
        <v>235</v>
      </c>
      <c r="AA22" s="1035"/>
      <c r="AB22" s="1035" t="s">
        <v>235</v>
      </c>
      <c r="AC22" s="1044"/>
      <c r="AD22" s="1031">
        <f>'様式11-6①'!AD22:AE22+'様式11-6②'!AD22:AE22+'様式11-6③'!AD22:AE22+'様式11-6④'!AD22:AE22+'様式11-6⑤'!AD22:AE22+'様式11-6⑥'!AD22:AE22+'様式11-6⑦'!AD22:AE22+'様式11-6⑧'!AD22:AE22</f>
        <v>0</v>
      </c>
      <c r="AE22" s="1032"/>
      <c r="AF22" s="1032">
        <f>'様式11-6①'!AF22:AG22+'様式11-6②'!AF22:AG22+'様式11-6③'!AF22:AG22+'様式11-6④'!AF22:AG22+'様式11-6⑤'!AF22:AG22+'様式11-6⑥'!AF22:AG22+'様式11-6⑦'!AF22:AG22+'様式11-6⑧'!AF22:AG22</f>
        <v>0</v>
      </c>
      <c r="AG22" s="1033"/>
      <c r="AH22" s="747">
        <f t="shared" si="0"/>
        <v>692.64705882352951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1040" t="s">
        <v>235</v>
      </c>
      <c r="K23" s="1041"/>
      <c r="L23" s="1041" t="s">
        <v>235</v>
      </c>
      <c r="M23" s="1041"/>
      <c r="N23" s="1041" t="s">
        <v>235</v>
      </c>
      <c r="O23" s="1041"/>
      <c r="P23" s="1041" t="s">
        <v>235</v>
      </c>
      <c r="Q23" s="1042"/>
      <c r="R23" s="1040" t="s">
        <v>235</v>
      </c>
      <c r="S23" s="1041"/>
      <c r="T23" s="1041" t="s">
        <v>235</v>
      </c>
      <c r="U23" s="1042"/>
      <c r="V23" s="1043">
        <f>'様式11-6①'!V23:W23+'様式11-6②'!V23:W23+'様式11-6③'!V23:W23+'様式11-6④'!V23:W23+'様式11-6⑤'!V23:W23+'様式11-6⑥'!V23:W23+'様式11-6⑦'!V23:W23+'様式11-6⑧'!V23:W23</f>
        <v>0</v>
      </c>
      <c r="W23" s="737"/>
      <c r="X23" s="737">
        <f>'様式11-6①'!X23:Y23+'様式11-6②'!X23:Y23+'様式11-6③'!X23:Y23+'様式11-6④'!X23:Y23+'様式11-6⑤'!X23:Y23+'様式11-6⑥'!X23:Y23+'様式11-6⑦'!X23:Y23+'様式11-6⑧'!X23:Y23</f>
        <v>0</v>
      </c>
      <c r="Y23" s="737"/>
      <c r="Z23" s="737">
        <f>'様式11-6①'!Z23:AA23+'様式11-6②'!Z23:AA23+'様式11-6③'!Z23:AA23+'様式11-6④'!Z23:AA23+'様式11-6⑤'!Z23:AA23+'様式11-6⑥'!Z23:AA23+'様式11-6⑦'!Z23:AA23+'様式11-6⑧'!Z23:AA23</f>
        <v>0</v>
      </c>
      <c r="AA23" s="737"/>
      <c r="AB23" s="737">
        <f>'様式11-6①'!AB23:AC23+'様式11-6②'!AB23:AC23+'様式11-6③'!AB23:AC23+'様式11-6④'!AB23:AC23+'様式11-6⑤'!AB23:AC23+'様式11-6⑥'!AB23:AC23+'様式11-6⑦'!AB23:AC23+'様式11-6⑧'!AB23:AC23</f>
        <v>0</v>
      </c>
      <c r="AC23" s="738"/>
      <c r="AD23" s="1040" t="s">
        <v>235</v>
      </c>
      <c r="AE23" s="1041"/>
      <c r="AF23" s="1041" t="s">
        <v>235</v>
      </c>
      <c r="AG23" s="1042"/>
      <c r="AH23" s="727">
        <f t="shared" si="0"/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1285.8699999999999</v>
      </c>
      <c r="S27" s="548"/>
      <c r="T27" s="28" t="s">
        <v>71</v>
      </c>
      <c r="U27" s="28"/>
      <c r="V27" s="28"/>
      <c r="W27" s="549">
        <f>'様式11-6①'!W27+'様式11-6②'!W27+'様式11-6③'!W27+'様式11-6④'!W27+'様式11-6⑤'!W27+'様式11-6⑥'!W27+'様式11-6⑦'!W27+'様式11-6⑧'!W27</f>
        <v>13.725000000000003</v>
      </c>
      <c r="X27" s="549"/>
      <c r="Y27" s="28" t="s">
        <v>70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15001.280887500001</v>
      </c>
      <c r="AI27" s="641"/>
      <c r="AJ27" s="641"/>
      <c r="AK27" s="642"/>
      <c r="AL27" s="633" t="s">
        <v>0</v>
      </c>
      <c r="AM27" s="634"/>
      <c r="AN27" s="659">
        <v>0.36199999999999999</v>
      </c>
      <c r="AO27" s="660"/>
      <c r="AP27" s="661" t="s">
        <v>72</v>
      </c>
      <c r="AQ27" s="662"/>
      <c r="AR27" s="663">
        <f>AN27*AB30/1000</f>
        <v>0.32774841176470593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62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905.38235294117658</v>
      </c>
      <c r="AC28" s="702"/>
      <c r="AD28" s="24" t="s">
        <v>63</v>
      </c>
      <c r="AE28" s="24"/>
      <c r="AF28" s="24"/>
      <c r="AG28" s="152"/>
      <c r="AH28" s="648">
        <f>(S28+U28+W28)*AB28</f>
        <v>21158.785588235296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255"/>
      <c r="J29" s="252"/>
      <c r="K29" s="252"/>
      <c r="L29" s="259"/>
      <c r="M29" s="259"/>
      <c r="N29" s="259"/>
      <c r="O29" s="259"/>
      <c r="P29" s="259"/>
      <c r="Q29" s="256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53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54"/>
      <c r="S30" s="254"/>
      <c r="T30" s="25"/>
      <c r="U30" s="25"/>
      <c r="V30" s="25"/>
      <c r="W30" s="165"/>
      <c r="X30" s="260"/>
      <c r="Y30" s="260"/>
      <c r="Z30" s="167"/>
      <c r="AA30" s="168"/>
      <c r="AB30" s="711">
        <f>SUM(AB28:AC28)</f>
        <v>905.38235294117658</v>
      </c>
      <c r="AC30" s="711"/>
      <c r="AD30" s="169" t="s">
        <v>57</v>
      </c>
      <c r="AE30" s="25"/>
      <c r="AF30" s="25"/>
      <c r="AG30" s="25"/>
      <c r="AH30" s="712">
        <f>SUM(AH27:AK28)</f>
        <v>36160.066475735293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111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251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45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111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123.69</v>
      </c>
      <c r="T32" s="556"/>
      <c r="U32" s="23" t="s">
        <v>48</v>
      </c>
      <c r="V32" s="172" t="s">
        <v>110</v>
      </c>
      <c r="W32" s="173">
        <f>料金単価!$F$7</f>
        <v>14.55</v>
      </c>
      <c r="X32" s="258" t="s">
        <v>112</v>
      </c>
      <c r="Y32" s="259" t="s">
        <v>113</v>
      </c>
      <c r="Z32" s="719">
        <f>IF('様式11-5'!U$1="LPG",0,J$22)</f>
        <v>0</v>
      </c>
      <c r="AA32" s="719"/>
      <c r="AB32" s="23" t="s">
        <v>46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54"/>
      <c r="S33" s="254"/>
      <c r="T33" s="25"/>
      <c r="U33" s="25"/>
      <c r="V33" s="25"/>
      <c r="W33" s="165"/>
      <c r="X33" s="260"/>
      <c r="Y33" s="260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52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251" t="s">
        <v>51</v>
      </c>
      <c r="AD34" s="28"/>
      <c r="AE34" s="28"/>
      <c r="AF34" s="28"/>
      <c r="AG34" s="28"/>
      <c r="AH34" s="640">
        <f>R34*AB34</f>
        <v>1320</v>
      </c>
      <c r="AI34" s="641"/>
      <c r="AJ34" s="641"/>
      <c r="AK34" s="642"/>
      <c r="AL34" s="617" t="s">
        <v>52</v>
      </c>
      <c r="AM34" s="618"/>
      <c r="AN34" s="594">
        <v>6</v>
      </c>
      <c r="AO34" s="595"/>
      <c r="AP34" s="613" t="s">
        <v>45</v>
      </c>
      <c r="AQ34" s="614"/>
      <c r="AR34" s="625">
        <f>AN34*X36/1000</f>
        <v>0.55588235294117661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92.64705882352942</v>
      </c>
      <c r="Y35" s="644"/>
      <c r="Z35" s="23" t="s">
        <v>46</v>
      </c>
      <c r="AA35" s="23"/>
      <c r="AB35" s="23"/>
      <c r="AC35" s="24"/>
      <c r="AD35" s="23"/>
      <c r="AE35" s="23"/>
      <c r="AF35" s="23"/>
      <c r="AG35" s="23"/>
      <c r="AH35" s="558">
        <f>R35*X35</f>
        <v>40764.705882352944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54"/>
      <c r="S36" s="254"/>
      <c r="T36" s="25"/>
      <c r="U36" s="25"/>
      <c r="V36" s="25"/>
      <c r="W36" s="165"/>
      <c r="X36" s="716">
        <f>SUM(X35:Y35)</f>
        <v>92.64705882352942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42084.705882352944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1285.8699999999999</v>
      </c>
      <c r="S38" s="548"/>
      <c r="T38" s="28" t="s">
        <v>71</v>
      </c>
      <c r="U38" s="28"/>
      <c r="V38" s="28"/>
      <c r="W38" s="549">
        <f>$W$27</f>
        <v>13.725000000000003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15001.280887500001</v>
      </c>
      <c r="AI38" s="641"/>
      <c r="AJ38" s="641"/>
      <c r="AK38" s="642"/>
      <c r="AL38" s="633" t="s">
        <v>0</v>
      </c>
      <c r="AM38" s="634"/>
      <c r="AN38" s="659">
        <f>AN27</f>
        <v>0.36199999999999999</v>
      </c>
      <c r="AO38" s="660"/>
      <c r="AP38" s="661" t="s">
        <v>72</v>
      </c>
      <c r="AQ38" s="662"/>
      <c r="AR38" s="663">
        <f>AN38*AB41/1000</f>
        <v>0.6825446969411767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62</v>
      </c>
      <c r="U39" s="149">
        <f>$U$28</f>
        <v>7.29</v>
      </c>
      <c r="V39" s="148" t="s">
        <v>62</v>
      </c>
      <c r="W39" s="150">
        <f>$W$28</f>
        <v>3.45</v>
      </c>
      <c r="X39" s="151" t="s">
        <v>64</v>
      </c>
      <c r="Y39" s="24" t="s">
        <v>61</v>
      </c>
      <c r="Z39" s="151"/>
      <c r="AA39" s="32"/>
      <c r="AB39" s="702">
        <f>L$16+L$18+L$20</f>
        <v>1885.4825882352945</v>
      </c>
      <c r="AC39" s="702"/>
      <c r="AD39" s="24" t="s">
        <v>63</v>
      </c>
      <c r="AE39" s="24"/>
      <c r="AF39" s="24"/>
      <c r="AG39" s="152"/>
      <c r="AH39" s="648">
        <f>(S39+U39+W39)*AB39</f>
        <v>45685.243112941185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255"/>
      <c r="J40" s="252"/>
      <c r="K40" s="252"/>
      <c r="L40" s="259"/>
      <c r="M40" s="259"/>
      <c r="N40" s="259"/>
      <c r="O40" s="259"/>
      <c r="P40" s="259"/>
      <c r="Q40" s="2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253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54"/>
      <c r="S41" s="254"/>
      <c r="T41" s="25"/>
      <c r="U41" s="25"/>
      <c r="V41" s="25"/>
      <c r="W41" s="165"/>
      <c r="X41" s="260"/>
      <c r="Y41" s="260"/>
      <c r="Z41" s="167"/>
      <c r="AA41" s="168"/>
      <c r="AB41" s="711">
        <f>SUM(AB39:AC39)</f>
        <v>1885.4825882352945</v>
      </c>
      <c r="AC41" s="711"/>
      <c r="AD41" s="169" t="s">
        <v>57</v>
      </c>
      <c r="AE41" s="25"/>
      <c r="AF41" s="25"/>
      <c r="AG41" s="25"/>
      <c r="AH41" s="712">
        <f>SUM(AH38:AK39)</f>
        <v>60686.52400044119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111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251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45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117.09</v>
      </c>
      <c r="T43" s="556"/>
      <c r="U43" s="23" t="s">
        <v>48</v>
      </c>
      <c r="V43" s="172" t="s">
        <v>110</v>
      </c>
      <c r="W43" s="173">
        <f>W32</f>
        <v>14.55</v>
      </c>
      <c r="X43" s="258" t="s">
        <v>112</v>
      </c>
      <c r="Y43" s="259" t="s">
        <v>113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54"/>
      <c r="S44" s="254"/>
      <c r="T44" s="25"/>
      <c r="U44" s="25"/>
      <c r="V44" s="25"/>
      <c r="W44" s="165"/>
      <c r="X44" s="260"/>
      <c r="Y44" s="260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52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251" t="s">
        <v>51</v>
      </c>
      <c r="AD45" s="28"/>
      <c r="AE45" s="28"/>
      <c r="AF45" s="28"/>
      <c r="AG45" s="28"/>
      <c r="AH45" s="640">
        <f>R45*AB45</f>
        <v>1320</v>
      </c>
      <c r="AI45" s="641"/>
      <c r="AJ45" s="641"/>
      <c r="AK45" s="642"/>
      <c r="AL45" s="617" t="s">
        <v>52</v>
      </c>
      <c r="AM45" s="618"/>
      <c r="AN45" s="594">
        <f>AN34</f>
        <v>6</v>
      </c>
      <c r="AO45" s="595"/>
      <c r="AP45" s="613" t="s">
        <v>45</v>
      </c>
      <c r="AQ45" s="614"/>
      <c r="AR45" s="625">
        <f>AN45*X47/1000</f>
        <v>1.4457882352941174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240.96470588235292</v>
      </c>
      <c r="Y46" s="644"/>
      <c r="Z46" s="23" t="s">
        <v>46</v>
      </c>
      <c r="AA46" s="23"/>
      <c r="AB46" s="23"/>
      <c r="AC46" s="24"/>
      <c r="AD46" s="23"/>
      <c r="AE46" s="23"/>
      <c r="AF46" s="23"/>
      <c r="AG46" s="23"/>
      <c r="AH46" s="558">
        <f>R46*X46</f>
        <v>106024.47058823529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54"/>
      <c r="S47" s="254"/>
      <c r="T47" s="25"/>
      <c r="U47" s="25"/>
      <c r="V47" s="25"/>
      <c r="W47" s="165"/>
      <c r="X47" s="716">
        <f>SUM(X46:Y46)</f>
        <v>240.96470588235292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107344.47058823529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1285.8699999999999</v>
      </c>
      <c r="S49" s="548"/>
      <c r="T49" s="28" t="s">
        <v>71</v>
      </c>
      <c r="U49" s="28"/>
      <c r="V49" s="28"/>
      <c r="W49" s="549">
        <f>$W$27</f>
        <v>13.725000000000003</v>
      </c>
      <c r="X49" s="549"/>
      <c r="Y49" s="28" t="s">
        <v>70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15001.280887500001</v>
      </c>
      <c r="AI49" s="641"/>
      <c r="AJ49" s="641"/>
      <c r="AK49" s="642"/>
      <c r="AL49" s="633" t="s">
        <v>0</v>
      </c>
      <c r="AM49" s="634"/>
      <c r="AN49" s="659">
        <f>AN38</f>
        <v>0.36199999999999999</v>
      </c>
      <c r="AO49" s="660"/>
      <c r="AP49" s="661" t="s">
        <v>72</v>
      </c>
      <c r="AQ49" s="662"/>
      <c r="AR49" s="663">
        <f>AN49*AB52/1000</f>
        <v>0.68459515011764727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62</v>
      </c>
      <c r="U50" s="149">
        <f>$U$28</f>
        <v>7.29</v>
      </c>
      <c r="V50" s="148" t="s">
        <v>62</v>
      </c>
      <c r="W50" s="150">
        <f>$W$28</f>
        <v>3.45</v>
      </c>
      <c r="X50" s="151" t="s">
        <v>64</v>
      </c>
      <c r="Y50" s="24" t="s">
        <v>61</v>
      </c>
      <c r="Z50" s="151"/>
      <c r="AA50" s="32"/>
      <c r="AB50" s="702">
        <f>N$16+N$18+N$20</f>
        <v>1891.1468235294121</v>
      </c>
      <c r="AC50" s="702"/>
      <c r="AD50" s="24" t="s">
        <v>63</v>
      </c>
      <c r="AE50" s="24"/>
      <c r="AF50" s="24"/>
      <c r="AG50" s="152"/>
      <c r="AH50" s="648">
        <f>(S50+U50+W50)*AB50</f>
        <v>45822.487534117659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255"/>
      <c r="J51" s="252"/>
      <c r="K51" s="252"/>
      <c r="L51" s="259"/>
      <c r="M51" s="259"/>
      <c r="N51" s="259"/>
      <c r="O51" s="259"/>
      <c r="P51" s="259"/>
      <c r="Q51" s="2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253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54"/>
      <c r="S52" s="254"/>
      <c r="T52" s="25"/>
      <c r="U52" s="25"/>
      <c r="V52" s="25"/>
      <c r="W52" s="165"/>
      <c r="X52" s="260"/>
      <c r="Y52" s="260"/>
      <c r="Z52" s="167"/>
      <c r="AA52" s="168"/>
      <c r="AB52" s="711">
        <f>SUM(AB50:AC50)</f>
        <v>1891.1468235294121</v>
      </c>
      <c r="AC52" s="711"/>
      <c r="AD52" s="169" t="s">
        <v>57</v>
      </c>
      <c r="AE52" s="25"/>
      <c r="AF52" s="25"/>
      <c r="AG52" s="25"/>
      <c r="AH52" s="712">
        <f>SUM(AH49:AK50)</f>
        <v>60823.768421617657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111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251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45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111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117.09</v>
      </c>
      <c r="T54" s="556"/>
      <c r="U54" s="23" t="s">
        <v>48</v>
      </c>
      <c r="V54" s="172" t="s">
        <v>110</v>
      </c>
      <c r="W54" s="173">
        <f>W43</f>
        <v>14.55</v>
      </c>
      <c r="X54" s="258" t="s">
        <v>112</v>
      </c>
      <c r="Y54" s="259" t="s">
        <v>113</v>
      </c>
      <c r="Z54" s="719">
        <f>IF('様式11-5'!U$1="LPG",0,N$22)</f>
        <v>0</v>
      </c>
      <c r="AA54" s="719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54"/>
      <c r="S55" s="254"/>
      <c r="T55" s="25"/>
      <c r="U55" s="25"/>
      <c r="V55" s="25"/>
      <c r="W55" s="165"/>
      <c r="X55" s="260"/>
      <c r="Y55" s="260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52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251" t="s">
        <v>51</v>
      </c>
      <c r="AD56" s="28"/>
      <c r="AE56" s="28"/>
      <c r="AF56" s="28"/>
      <c r="AG56" s="28"/>
      <c r="AH56" s="640">
        <f>R56*AB56</f>
        <v>1320</v>
      </c>
      <c r="AI56" s="641"/>
      <c r="AJ56" s="641"/>
      <c r="AK56" s="642"/>
      <c r="AL56" s="617" t="s">
        <v>52</v>
      </c>
      <c r="AM56" s="618"/>
      <c r="AN56" s="594">
        <f>AN45</f>
        <v>6</v>
      </c>
      <c r="AO56" s="595"/>
      <c r="AP56" s="613" t="s">
        <v>45</v>
      </c>
      <c r="AQ56" s="614"/>
      <c r="AR56" s="625">
        <f>AN56*X58/1000</f>
        <v>1.4659764705882352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244.3294117647059</v>
      </c>
      <c r="Y57" s="644"/>
      <c r="Z57" s="23" t="s">
        <v>46</v>
      </c>
      <c r="AA57" s="23"/>
      <c r="AB57" s="23"/>
      <c r="AC57" s="24"/>
      <c r="AD57" s="23"/>
      <c r="AE57" s="23"/>
      <c r="AF57" s="23"/>
      <c r="AG57" s="23"/>
      <c r="AH57" s="558">
        <f>R57*X57</f>
        <v>107504.94117647059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54"/>
      <c r="S58" s="254"/>
      <c r="T58" s="25"/>
      <c r="U58" s="25"/>
      <c r="V58" s="25"/>
      <c r="W58" s="165"/>
      <c r="X58" s="716">
        <f>SUM(X57:Y57)</f>
        <v>244.3294117647059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108824.94117647059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1285.8699999999999</v>
      </c>
      <c r="S60" s="548"/>
      <c r="T60" s="28" t="s">
        <v>71</v>
      </c>
      <c r="U60" s="28"/>
      <c r="V60" s="28"/>
      <c r="W60" s="549">
        <f>$W$27</f>
        <v>13.725000000000003</v>
      </c>
      <c r="X60" s="549"/>
      <c r="Y60" s="28" t="s">
        <v>70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15001.280887500001</v>
      </c>
      <c r="AI60" s="641"/>
      <c r="AJ60" s="641"/>
      <c r="AK60" s="642"/>
      <c r="AL60" s="633" t="s">
        <v>0</v>
      </c>
      <c r="AM60" s="634"/>
      <c r="AN60" s="659">
        <f>AN27</f>
        <v>0.36199999999999999</v>
      </c>
      <c r="AO60" s="660"/>
      <c r="AP60" s="661" t="s">
        <v>72</v>
      </c>
      <c r="AQ60" s="662"/>
      <c r="AR60" s="663">
        <f>AN60*AB63/1000</f>
        <v>0.37370111764705888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62</v>
      </c>
      <c r="U61" s="149">
        <f>$U$28</f>
        <v>7.29</v>
      </c>
      <c r="V61" s="148" t="s">
        <v>62</v>
      </c>
      <c r="W61" s="150">
        <f>$W$28</f>
        <v>3.45</v>
      </c>
      <c r="X61" s="151" t="s">
        <v>64</v>
      </c>
      <c r="Y61" s="24" t="s">
        <v>61</v>
      </c>
      <c r="Z61" s="151"/>
      <c r="AA61" s="32"/>
      <c r="AB61" s="702">
        <f>P$16+P$18+P$20</f>
        <v>1032.3235294117649</v>
      </c>
      <c r="AC61" s="702"/>
      <c r="AD61" s="24" t="s">
        <v>63</v>
      </c>
      <c r="AE61" s="24"/>
      <c r="AF61" s="24"/>
      <c r="AG61" s="152"/>
      <c r="AH61" s="648">
        <f>(S61+U61+W61)*AB61</f>
        <v>25013.199117647062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255"/>
      <c r="J62" s="252"/>
      <c r="K62" s="252"/>
      <c r="L62" s="259"/>
      <c r="M62" s="259"/>
      <c r="N62" s="259"/>
      <c r="O62" s="259"/>
      <c r="P62" s="259"/>
      <c r="Q62" s="2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253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54"/>
      <c r="S63" s="254"/>
      <c r="T63" s="25"/>
      <c r="U63" s="25"/>
      <c r="V63" s="25"/>
      <c r="W63" s="165"/>
      <c r="X63" s="260"/>
      <c r="Y63" s="260"/>
      <c r="Z63" s="167"/>
      <c r="AA63" s="168"/>
      <c r="AB63" s="711">
        <f>SUM(AB61:AC61)</f>
        <v>1032.3235294117649</v>
      </c>
      <c r="AC63" s="711"/>
      <c r="AD63" s="169" t="s">
        <v>57</v>
      </c>
      <c r="AE63" s="25"/>
      <c r="AF63" s="25"/>
      <c r="AG63" s="25"/>
      <c r="AH63" s="712">
        <f>SUM(AH60:AK61)</f>
        <v>40014.480005147067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111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251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45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111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123.69</v>
      </c>
      <c r="T65" s="556"/>
      <c r="U65" s="23" t="s">
        <v>48</v>
      </c>
      <c r="V65" s="172" t="s">
        <v>110</v>
      </c>
      <c r="W65" s="173">
        <f>W54</f>
        <v>14.55</v>
      </c>
      <c r="X65" s="258" t="s">
        <v>112</v>
      </c>
      <c r="Y65" s="259" t="s">
        <v>113</v>
      </c>
      <c r="Z65" s="719">
        <f>IF('様式11-5'!U$1="LPG",0,P$22)</f>
        <v>0</v>
      </c>
      <c r="AA65" s="719"/>
      <c r="AB65" s="23" t="s">
        <v>46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54"/>
      <c r="S66" s="254"/>
      <c r="T66" s="25"/>
      <c r="U66" s="25"/>
      <c r="V66" s="25"/>
      <c r="W66" s="165"/>
      <c r="X66" s="260"/>
      <c r="Y66" s="260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52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251" t="s">
        <v>51</v>
      </c>
      <c r="AD67" s="28"/>
      <c r="AE67" s="28"/>
      <c r="AF67" s="28"/>
      <c r="AG67" s="28"/>
      <c r="AH67" s="640">
        <f>R67*AB67</f>
        <v>1320</v>
      </c>
      <c r="AI67" s="641"/>
      <c r="AJ67" s="641"/>
      <c r="AK67" s="642"/>
      <c r="AL67" s="617" t="s">
        <v>52</v>
      </c>
      <c r="AM67" s="618"/>
      <c r="AN67" s="594">
        <f>AN34</f>
        <v>6</v>
      </c>
      <c r="AO67" s="595"/>
      <c r="AP67" s="613" t="s">
        <v>45</v>
      </c>
      <c r="AQ67" s="614"/>
      <c r="AR67" s="625">
        <f>AN67*X69/1000</f>
        <v>0.68823529411764706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114.70588235294117</v>
      </c>
      <c r="Y68" s="644"/>
      <c r="Z68" s="23" t="s">
        <v>46</v>
      </c>
      <c r="AA68" s="23"/>
      <c r="AB68" s="23"/>
      <c r="AC68" s="24"/>
      <c r="AD68" s="23"/>
      <c r="AE68" s="23"/>
      <c r="AF68" s="23"/>
      <c r="AG68" s="23"/>
      <c r="AH68" s="558">
        <f>R68*X68</f>
        <v>50470.588235294119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54"/>
      <c r="S69" s="254"/>
      <c r="T69" s="25"/>
      <c r="U69" s="25"/>
      <c r="V69" s="25"/>
      <c r="W69" s="165"/>
      <c r="X69" s="716">
        <f>SUM(X68:Y68)</f>
        <v>114.70588235294117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51790.588235294119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1285.8699999999999</v>
      </c>
      <c r="S71" s="548"/>
      <c r="T71" s="28" t="s">
        <v>71</v>
      </c>
      <c r="U71" s="28"/>
      <c r="V71" s="28"/>
      <c r="W71" s="549">
        <f>$W$27</f>
        <v>13.725000000000003</v>
      </c>
      <c r="X71" s="549"/>
      <c r="Y71" s="28" t="s">
        <v>70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15001.280887500001</v>
      </c>
      <c r="AI71" s="641"/>
      <c r="AJ71" s="641"/>
      <c r="AK71" s="642"/>
      <c r="AL71" s="633" t="s">
        <v>0</v>
      </c>
      <c r="AM71" s="634"/>
      <c r="AN71" s="659">
        <f>AN38</f>
        <v>0.36199999999999999</v>
      </c>
      <c r="AO71" s="660"/>
      <c r="AP71" s="661" t="s">
        <v>72</v>
      </c>
      <c r="AQ71" s="662"/>
      <c r="AR71" s="663">
        <f>AN71*AB74/1000</f>
        <v>8.0798400000000006E-2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157</v>
      </c>
      <c r="S72" s="33">
        <f>IF(P72="夏季",料金単価!$D$3,料金単価!$E$3)</f>
        <v>12.63</v>
      </c>
      <c r="T72" s="148" t="s">
        <v>62</v>
      </c>
      <c r="U72" s="149">
        <f>$U$28</f>
        <v>7.29</v>
      </c>
      <c r="V72" s="148" t="s">
        <v>62</v>
      </c>
      <c r="W72" s="150">
        <f>$W$28</f>
        <v>3.45</v>
      </c>
      <c r="X72" s="151" t="s">
        <v>64</v>
      </c>
      <c r="Y72" s="24" t="s">
        <v>61</v>
      </c>
      <c r="Z72" s="151"/>
      <c r="AA72" s="32"/>
      <c r="AB72" s="702">
        <f>R$17+R$19+R$21</f>
        <v>223.20000000000002</v>
      </c>
      <c r="AC72" s="702"/>
      <c r="AD72" s="24" t="s">
        <v>63</v>
      </c>
      <c r="AE72" s="24"/>
      <c r="AF72" s="24"/>
      <c r="AG72" s="152"/>
      <c r="AH72" s="648">
        <f>(S72+U72+W72)*AB72</f>
        <v>5216.1840000000002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255"/>
      <c r="J73" s="252"/>
      <c r="K73" s="252"/>
      <c r="L73" s="259"/>
      <c r="M73" s="259"/>
      <c r="N73" s="259"/>
      <c r="O73" s="259"/>
      <c r="P73" s="259"/>
      <c r="Q73" s="2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253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54"/>
      <c r="S74" s="254"/>
      <c r="T74" s="25"/>
      <c r="U74" s="25"/>
      <c r="V74" s="25"/>
      <c r="W74" s="165"/>
      <c r="X74" s="260"/>
      <c r="Y74" s="260"/>
      <c r="Z74" s="167"/>
      <c r="AA74" s="168"/>
      <c r="AB74" s="711">
        <f>SUM(AB72:AC72)</f>
        <v>223.20000000000002</v>
      </c>
      <c r="AC74" s="711"/>
      <c r="AD74" s="169" t="s">
        <v>57</v>
      </c>
      <c r="AE74" s="25"/>
      <c r="AF74" s="25"/>
      <c r="AG74" s="25"/>
      <c r="AH74" s="712">
        <f>SUM(AH71:AK72)</f>
        <v>20217.464887500002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111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251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45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111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123.69</v>
      </c>
      <c r="T76" s="556"/>
      <c r="U76" s="23" t="s">
        <v>48</v>
      </c>
      <c r="V76" s="172" t="s">
        <v>110</v>
      </c>
      <c r="W76" s="173">
        <f>W65</f>
        <v>14.55</v>
      </c>
      <c r="X76" s="258" t="s">
        <v>112</v>
      </c>
      <c r="Y76" s="259" t="s">
        <v>113</v>
      </c>
      <c r="Z76" s="665">
        <f>IF('様式11-5'!U$1="LPG",0,R$22)</f>
        <v>0</v>
      </c>
      <c r="AA76" s="665"/>
      <c r="AB76" s="23" t="s">
        <v>46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54"/>
      <c r="S77" s="254"/>
      <c r="T77" s="25"/>
      <c r="U77" s="25"/>
      <c r="V77" s="25"/>
      <c r="W77" s="165"/>
      <c r="X77" s="260"/>
      <c r="Y77" s="260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52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251" t="s">
        <v>51</v>
      </c>
      <c r="AD78" s="28"/>
      <c r="AE78" s="28"/>
      <c r="AF78" s="28"/>
      <c r="AG78" s="28"/>
      <c r="AH78" s="640">
        <f>R78*AB78</f>
        <v>1320</v>
      </c>
      <c r="AI78" s="641"/>
      <c r="AJ78" s="641"/>
      <c r="AK78" s="642"/>
      <c r="AL78" s="617" t="s">
        <v>52</v>
      </c>
      <c r="AM78" s="618"/>
      <c r="AN78" s="594">
        <f>AN45</f>
        <v>6</v>
      </c>
      <c r="AO78" s="595"/>
      <c r="AP78" s="613" t="s">
        <v>45</v>
      </c>
      <c r="AQ78" s="614"/>
      <c r="AR78" s="625">
        <f>AN78*X80/1000</f>
        <v>0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IF('様式11-5'!U$1="LPG",R$22,0)</f>
        <v>0</v>
      </c>
      <c r="Y79" s="644"/>
      <c r="Z79" s="23" t="s">
        <v>46</v>
      </c>
      <c r="AA79" s="23"/>
      <c r="AB79" s="23"/>
      <c r="AC79" s="24"/>
      <c r="AD79" s="23"/>
      <c r="AE79" s="23"/>
      <c r="AF79" s="23"/>
      <c r="AG79" s="23"/>
      <c r="AH79" s="558">
        <f>R79*X79</f>
        <v>0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54"/>
      <c r="S80" s="254"/>
      <c r="T80" s="25"/>
      <c r="U80" s="25"/>
      <c r="V80" s="25"/>
      <c r="W80" s="165"/>
      <c r="X80" s="716">
        <f>SUM(X79:Y79)</f>
        <v>0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1320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1285.8699999999999</v>
      </c>
      <c r="S82" s="548"/>
      <c r="T82" s="28" t="s">
        <v>71</v>
      </c>
      <c r="U82" s="28"/>
      <c r="V82" s="28"/>
      <c r="W82" s="549">
        <f>$W$27</f>
        <v>13.725000000000003</v>
      </c>
      <c r="X82" s="549"/>
      <c r="Y82" s="28" t="s">
        <v>70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15001.280887500001</v>
      </c>
      <c r="AI82" s="641"/>
      <c r="AJ82" s="641"/>
      <c r="AK82" s="642"/>
      <c r="AL82" s="633" t="s">
        <v>0</v>
      </c>
      <c r="AM82" s="634"/>
      <c r="AN82" s="659">
        <f>AN49</f>
        <v>0.36199999999999999</v>
      </c>
      <c r="AO82" s="660"/>
      <c r="AP82" s="661" t="s">
        <v>72</v>
      </c>
      <c r="AQ82" s="662"/>
      <c r="AR82" s="663">
        <f>AN82*AB85/1000</f>
        <v>7.8192000000000025E-2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197</v>
      </c>
      <c r="Q83" s="646"/>
      <c r="R83" s="34" t="s">
        <v>157</v>
      </c>
      <c r="S83" s="33">
        <f>IF(P83="夏季",料金単価!$D$3,料金単価!$E$3)</f>
        <v>12.63</v>
      </c>
      <c r="T83" s="148" t="s">
        <v>62</v>
      </c>
      <c r="U83" s="149">
        <f>$U$28</f>
        <v>7.29</v>
      </c>
      <c r="V83" s="148" t="s">
        <v>62</v>
      </c>
      <c r="W83" s="150">
        <f>$W$28</f>
        <v>3.45</v>
      </c>
      <c r="X83" s="151" t="s">
        <v>64</v>
      </c>
      <c r="Y83" s="24" t="s">
        <v>61</v>
      </c>
      <c r="Z83" s="151"/>
      <c r="AA83" s="32"/>
      <c r="AB83" s="702">
        <f>T$17+T$19+T$21</f>
        <v>216.00000000000006</v>
      </c>
      <c r="AC83" s="702"/>
      <c r="AD83" s="24" t="s">
        <v>63</v>
      </c>
      <c r="AE83" s="24"/>
      <c r="AF83" s="24"/>
      <c r="AG83" s="152"/>
      <c r="AH83" s="648">
        <f>(S83+U83+W83)*AB83</f>
        <v>5047.9200000000019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255"/>
      <c r="J84" s="252"/>
      <c r="K84" s="252"/>
      <c r="L84" s="259"/>
      <c r="M84" s="259"/>
      <c r="N84" s="259"/>
      <c r="O84" s="259"/>
      <c r="P84" s="259"/>
      <c r="Q84" s="2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253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54"/>
      <c r="S85" s="254"/>
      <c r="T85" s="25"/>
      <c r="U85" s="25"/>
      <c r="V85" s="25"/>
      <c r="W85" s="165"/>
      <c r="X85" s="260"/>
      <c r="Y85" s="260"/>
      <c r="Z85" s="167"/>
      <c r="AA85" s="168"/>
      <c r="AB85" s="711">
        <f>SUM(AB83:AC83)</f>
        <v>216.00000000000006</v>
      </c>
      <c r="AC85" s="711"/>
      <c r="AD85" s="169" t="s">
        <v>57</v>
      </c>
      <c r="AE85" s="25"/>
      <c r="AF85" s="25"/>
      <c r="AG85" s="25"/>
      <c r="AH85" s="712">
        <f>SUM(AH82:AK83)</f>
        <v>20049.200887500003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111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251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AN42</f>
        <v>2.29</v>
      </c>
      <c r="AO86" s="595"/>
      <c r="AP86" s="613" t="s">
        <v>45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111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123.69</v>
      </c>
      <c r="T87" s="556"/>
      <c r="U87" s="23" t="s">
        <v>48</v>
      </c>
      <c r="V87" s="172" t="s">
        <v>110</v>
      </c>
      <c r="W87" s="173">
        <f>W76</f>
        <v>14.55</v>
      </c>
      <c r="X87" s="258" t="s">
        <v>112</v>
      </c>
      <c r="Y87" s="259" t="s">
        <v>113</v>
      </c>
      <c r="Z87" s="665">
        <f>IF('様式11-5'!U$1="LPG",0,T$22)</f>
        <v>0</v>
      </c>
      <c r="AA87" s="665"/>
      <c r="AB87" s="23" t="s">
        <v>46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54"/>
      <c r="S88" s="254"/>
      <c r="T88" s="25"/>
      <c r="U88" s="25"/>
      <c r="V88" s="25"/>
      <c r="W88" s="165"/>
      <c r="X88" s="260"/>
      <c r="Y88" s="260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52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251" t="s">
        <v>51</v>
      </c>
      <c r="AD89" s="28"/>
      <c r="AE89" s="28"/>
      <c r="AF89" s="28"/>
      <c r="AG89" s="28"/>
      <c r="AH89" s="640">
        <f>R89*AB89</f>
        <v>1320</v>
      </c>
      <c r="AI89" s="641"/>
      <c r="AJ89" s="641"/>
      <c r="AK89" s="642"/>
      <c r="AL89" s="617" t="s">
        <v>52</v>
      </c>
      <c r="AM89" s="618"/>
      <c r="AN89" s="594">
        <f>AN57</f>
        <v>0</v>
      </c>
      <c r="AO89" s="595"/>
      <c r="AP89" s="613" t="s">
        <v>45</v>
      </c>
      <c r="AQ89" s="614"/>
      <c r="AR89" s="625">
        <f>AN89*X91/1000</f>
        <v>0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IF('様式11-5'!U$1="LPG",T$22,0)</f>
        <v>0</v>
      </c>
      <c r="Y90" s="644"/>
      <c r="Z90" s="23" t="s">
        <v>46</v>
      </c>
      <c r="AA90" s="23"/>
      <c r="AB90" s="23"/>
      <c r="AC90" s="24"/>
      <c r="AD90" s="23"/>
      <c r="AE90" s="23"/>
      <c r="AF90" s="23"/>
      <c r="AG90" s="23"/>
      <c r="AH90" s="558">
        <f>R90*X90</f>
        <v>0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54"/>
      <c r="S91" s="254"/>
      <c r="T91" s="25"/>
      <c r="U91" s="25"/>
      <c r="V91" s="25"/>
      <c r="W91" s="165"/>
      <c r="X91" s="716">
        <f>SUM(X90:Y90)</f>
        <v>0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1320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1285.8699999999999</v>
      </c>
      <c r="S93" s="548"/>
      <c r="T93" s="28" t="s">
        <v>71</v>
      </c>
      <c r="U93" s="28"/>
      <c r="V93" s="28"/>
      <c r="W93" s="549">
        <f>$W$27</f>
        <v>13.725000000000003</v>
      </c>
      <c r="X93" s="549"/>
      <c r="Y93" s="28" t="s">
        <v>70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15001.280887500001</v>
      </c>
      <c r="AI93" s="641"/>
      <c r="AJ93" s="641"/>
      <c r="AK93" s="642"/>
      <c r="AL93" s="633" t="s">
        <v>0</v>
      </c>
      <c r="AM93" s="634"/>
      <c r="AN93" s="659">
        <f>AN27</f>
        <v>0.36199999999999999</v>
      </c>
      <c r="AO93" s="660"/>
      <c r="AP93" s="661" t="s">
        <v>72</v>
      </c>
      <c r="AQ93" s="662"/>
      <c r="AR93" s="663">
        <f>AN93*AB96/1000</f>
        <v>2.341441723294118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203</v>
      </c>
      <c r="M94" s="618"/>
      <c r="N94" s="618"/>
      <c r="O94" s="678"/>
      <c r="P94" s="643" t="s">
        <v>197</v>
      </c>
      <c r="Q94" s="646"/>
      <c r="R94" s="34" t="s">
        <v>157</v>
      </c>
      <c r="S94" s="33">
        <f>IF(P94="夏季",料金単価!$D$3,料金単価!$E$3)</f>
        <v>12.63</v>
      </c>
      <c r="T94" s="148" t="s">
        <v>62</v>
      </c>
      <c r="U94" s="149">
        <f>$U$28</f>
        <v>7.29</v>
      </c>
      <c r="V94" s="148" t="s">
        <v>62</v>
      </c>
      <c r="W94" s="150">
        <f>$W$28</f>
        <v>3.45</v>
      </c>
      <c r="X94" s="151" t="s">
        <v>64</v>
      </c>
      <c r="Y94" s="24" t="s">
        <v>61</v>
      </c>
      <c r="Z94" s="151"/>
      <c r="AA94" s="32"/>
      <c r="AB94" s="702">
        <f>V$17+V$19+V$21</f>
        <v>6468.0710588235306</v>
      </c>
      <c r="AC94" s="702"/>
      <c r="AD94" s="24" t="s">
        <v>63</v>
      </c>
      <c r="AE94" s="24"/>
      <c r="AF94" s="24"/>
      <c r="AG94" s="152"/>
      <c r="AH94" s="648">
        <f>(S94+U94+W94)*AB94</f>
        <v>151158.82064470591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255"/>
      <c r="J95" s="252"/>
      <c r="K95" s="252"/>
      <c r="L95" s="259"/>
      <c r="M95" s="259"/>
      <c r="N95" s="259"/>
      <c r="O95" s="259"/>
      <c r="P95" s="259"/>
      <c r="Q95" s="2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253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54"/>
      <c r="S96" s="254"/>
      <c r="T96" s="25"/>
      <c r="U96" s="25"/>
      <c r="V96" s="25"/>
      <c r="W96" s="165"/>
      <c r="X96" s="260"/>
      <c r="Y96" s="260"/>
      <c r="Z96" s="167"/>
      <c r="AA96" s="168"/>
      <c r="AB96" s="711">
        <f>SUM(AB94:AC94)</f>
        <v>6468.0710588235306</v>
      </c>
      <c r="AC96" s="711"/>
      <c r="AD96" s="169" t="s">
        <v>57</v>
      </c>
      <c r="AE96" s="25"/>
      <c r="AF96" s="25"/>
      <c r="AG96" s="25"/>
      <c r="AH96" s="712">
        <f>SUM(AH93:AK94)</f>
        <v>166160.10153220591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111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251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45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111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148.54</v>
      </c>
      <c r="T98" s="556"/>
      <c r="U98" s="23" t="s">
        <v>48</v>
      </c>
      <c r="V98" s="172" t="s">
        <v>110</v>
      </c>
      <c r="W98" s="173">
        <f>W87</f>
        <v>14.55</v>
      </c>
      <c r="X98" s="258" t="s">
        <v>112</v>
      </c>
      <c r="Y98" s="259" t="s">
        <v>113</v>
      </c>
      <c r="Z98" s="665">
        <f>IF('様式11-5'!U$1="LPG",0,V$23)</f>
        <v>0</v>
      </c>
      <c r="AA98" s="665"/>
      <c r="AB98" s="23" t="s">
        <v>46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54"/>
      <c r="S99" s="254"/>
      <c r="T99" s="25"/>
      <c r="U99" s="25"/>
      <c r="V99" s="25"/>
      <c r="W99" s="165"/>
      <c r="X99" s="260"/>
      <c r="Y99" s="260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52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251" t="s">
        <v>51</v>
      </c>
      <c r="AD100" s="28"/>
      <c r="AE100" s="28"/>
      <c r="AF100" s="28"/>
      <c r="AG100" s="28"/>
      <c r="AH100" s="640">
        <f>R100*AB100</f>
        <v>1320</v>
      </c>
      <c r="AI100" s="641"/>
      <c r="AJ100" s="641"/>
      <c r="AK100" s="642"/>
      <c r="AL100" s="617" t="s">
        <v>52</v>
      </c>
      <c r="AM100" s="618"/>
      <c r="AN100" s="594">
        <f>AN34</f>
        <v>6</v>
      </c>
      <c r="AO100" s="595"/>
      <c r="AP100" s="613" t="s">
        <v>45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46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54"/>
      <c r="S102" s="254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1320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1285.8699999999999</v>
      </c>
      <c r="S104" s="548"/>
      <c r="T104" s="28" t="s">
        <v>71</v>
      </c>
      <c r="U104" s="28"/>
      <c r="V104" s="28"/>
      <c r="W104" s="549">
        <f>$W$27</f>
        <v>13.725000000000003</v>
      </c>
      <c r="X104" s="549"/>
      <c r="Y104" s="28" t="s">
        <v>70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15001.280887500001</v>
      </c>
      <c r="AI104" s="641"/>
      <c r="AJ104" s="641"/>
      <c r="AK104" s="642"/>
      <c r="AL104" s="633" t="s">
        <v>0</v>
      </c>
      <c r="AM104" s="634"/>
      <c r="AN104" s="659">
        <f>AN27</f>
        <v>0.36199999999999999</v>
      </c>
      <c r="AO104" s="660"/>
      <c r="AP104" s="661" t="s">
        <v>72</v>
      </c>
      <c r="AQ104" s="662"/>
      <c r="AR104" s="663">
        <f>AN104*AB107/1000</f>
        <v>2.9245265369411761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203</v>
      </c>
      <c r="M105" s="618"/>
      <c r="N105" s="618"/>
      <c r="O105" s="678"/>
      <c r="P105" s="643" t="s">
        <v>197</v>
      </c>
      <c r="Q105" s="646"/>
      <c r="R105" s="34" t="s">
        <v>157</v>
      </c>
      <c r="S105" s="33">
        <f>IF(P105="夏季",料金単価!$D$3,料金単価!$E$3)</f>
        <v>12.63</v>
      </c>
      <c r="T105" s="148" t="s">
        <v>62</v>
      </c>
      <c r="U105" s="149">
        <f>$U$28</f>
        <v>7.29</v>
      </c>
      <c r="V105" s="148" t="s">
        <v>62</v>
      </c>
      <c r="W105" s="150">
        <f>$W$28</f>
        <v>3.45</v>
      </c>
      <c r="X105" s="151" t="s">
        <v>64</v>
      </c>
      <c r="Y105" s="24" t="s">
        <v>61</v>
      </c>
      <c r="Z105" s="151"/>
      <c r="AA105" s="32"/>
      <c r="AB105" s="702">
        <f>X$17+X$19+X$21</f>
        <v>8078.802588235294</v>
      </c>
      <c r="AC105" s="702"/>
      <c r="AD105" s="24" t="s">
        <v>63</v>
      </c>
      <c r="AE105" s="24"/>
      <c r="AF105" s="24"/>
      <c r="AG105" s="152"/>
      <c r="AH105" s="648">
        <f>(S105+U105+W105)*AB105</f>
        <v>188801.61648705884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255"/>
      <c r="J106" s="252"/>
      <c r="K106" s="252"/>
      <c r="L106" s="259"/>
      <c r="M106" s="259"/>
      <c r="N106" s="259"/>
      <c r="O106" s="259"/>
      <c r="P106" s="259"/>
      <c r="Q106" s="2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253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54"/>
      <c r="S107" s="254"/>
      <c r="T107" s="25"/>
      <c r="U107" s="25"/>
      <c r="V107" s="25"/>
      <c r="W107" s="165"/>
      <c r="X107" s="260"/>
      <c r="Y107" s="260"/>
      <c r="Z107" s="167"/>
      <c r="AA107" s="168"/>
      <c r="AB107" s="711">
        <f>SUM(AB105:AC105)</f>
        <v>8078.802588235294</v>
      </c>
      <c r="AC107" s="711"/>
      <c r="AD107" s="169" t="s">
        <v>57</v>
      </c>
      <c r="AE107" s="25"/>
      <c r="AF107" s="25"/>
      <c r="AG107" s="25"/>
      <c r="AH107" s="712">
        <f>SUM(AH104:AK105)</f>
        <v>203802.89737455884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111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251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45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111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148.54</v>
      </c>
      <c r="T109" s="556"/>
      <c r="U109" s="23" t="s">
        <v>48</v>
      </c>
      <c r="V109" s="172" t="s">
        <v>110</v>
      </c>
      <c r="W109" s="173">
        <f>W98</f>
        <v>14.55</v>
      </c>
      <c r="X109" s="258" t="s">
        <v>112</v>
      </c>
      <c r="Y109" s="259" t="s">
        <v>113</v>
      </c>
      <c r="Z109" s="665">
        <f>IF('様式11-5'!U$1="LPG",0,X$23)</f>
        <v>0</v>
      </c>
      <c r="AA109" s="665"/>
      <c r="AB109" s="23" t="s">
        <v>46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54"/>
      <c r="S110" s="254"/>
      <c r="T110" s="25"/>
      <c r="U110" s="25"/>
      <c r="V110" s="25"/>
      <c r="W110" s="165"/>
      <c r="X110" s="260"/>
      <c r="Y110" s="260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52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251" t="s">
        <v>51</v>
      </c>
      <c r="AD111" s="28"/>
      <c r="AE111" s="28"/>
      <c r="AF111" s="28"/>
      <c r="AG111" s="28"/>
      <c r="AH111" s="640">
        <f>R111*AB111</f>
        <v>1320</v>
      </c>
      <c r="AI111" s="641"/>
      <c r="AJ111" s="641"/>
      <c r="AK111" s="642"/>
      <c r="AL111" s="617" t="s">
        <v>52</v>
      </c>
      <c r="AM111" s="618"/>
      <c r="AN111" s="594">
        <f>AN34</f>
        <v>6</v>
      </c>
      <c r="AO111" s="595"/>
      <c r="AP111" s="613" t="s">
        <v>45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46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54"/>
      <c r="S113" s="254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1320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1285.8699999999999</v>
      </c>
      <c r="S115" s="548"/>
      <c r="T115" s="28" t="s">
        <v>71</v>
      </c>
      <c r="U115" s="28"/>
      <c r="V115" s="28"/>
      <c r="W115" s="549">
        <f>$W$27</f>
        <v>13.725000000000003</v>
      </c>
      <c r="X115" s="549"/>
      <c r="Y115" s="28" t="s">
        <v>70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15001.280887500001</v>
      </c>
      <c r="AI115" s="641"/>
      <c r="AJ115" s="641"/>
      <c r="AK115" s="642"/>
      <c r="AL115" s="633" t="s">
        <v>0</v>
      </c>
      <c r="AM115" s="634"/>
      <c r="AN115" s="659">
        <f>AN27</f>
        <v>0.36199999999999999</v>
      </c>
      <c r="AO115" s="660"/>
      <c r="AP115" s="661" t="s">
        <v>72</v>
      </c>
      <c r="AQ115" s="662"/>
      <c r="AR115" s="663">
        <f>AN115*AB118/1000</f>
        <v>2.8610222823529408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197</v>
      </c>
      <c r="Q116" s="646"/>
      <c r="R116" s="34" t="s">
        <v>157</v>
      </c>
      <c r="S116" s="33">
        <f>IF(P116="夏季",料金単価!$D$3,料金単価!$E$3)</f>
        <v>12.63</v>
      </c>
      <c r="T116" s="148" t="s">
        <v>62</v>
      </c>
      <c r="U116" s="149">
        <f>$U$28</f>
        <v>7.29</v>
      </c>
      <c r="V116" s="148" t="s">
        <v>62</v>
      </c>
      <c r="W116" s="150">
        <f>$W$28</f>
        <v>3.45</v>
      </c>
      <c r="X116" s="151" t="s">
        <v>64</v>
      </c>
      <c r="Y116" s="24" t="s">
        <v>61</v>
      </c>
      <c r="Z116" s="151"/>
      <c r="AA116" s="32"/>
      <c r="AB116" s="702">
        <f>Z$17+Z$19+Z21</f>
        <v>7903.376470588234</v>
      </c>
      <c r="AC116" s="702"/>
      <c r="AD116" s="24" t="s">
        <v>63</v>
      </c>
      <c r="AE116" s="24"/>
      <c r="AF116" s="24"/>
      <c r="AG116" s="152"/>
      <c r="AH116" s="648">
        <f>(S116+U116+W116)*AB116</f>
        <v>184701.90811764705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255"/>
      <c r="J117" s="252"/>
      <c r="K117" s="252"/>
      <c r="L117" s="259"/>
      <c r="M117" s="259"/>
      <c r="N117" s="259"/>
      <c r="O117" s="259"/>
      <c r="P117" s="259"/>
      <c r="Q117" s="2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253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54"/>
      <c r="S118" s="254"/>
      <c r="T118" s="25"/>
      <c r="U118" s="25"/>
      <c r="V118" s="25"/>
      <c r="W118" s="165"/>
      <c r="X118" s="260"/>
      <c r="Y118" s="260"/>
      <c r="Z118" s="167"/>
      <c r="AA118" s="168"/>
      <c r="AB118" s="711">
        <f>SUM(AB116:AC116)</f>
        <v>7903.376470588234</v>
      </c>
      <c r="AC118" s="711"/>
      <c r="AD118" s="169" t="s">
        <v>57</v>
      </c>
      <c r="AE118" s="25"/>
      <c r="AF118" s="25"/>
      <c r="AG118" s="25"/>
      <c r="AH118" s="712">
        <f>SUM(AH115:AK116)</f>
        <v>199703.18900514705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111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251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45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111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148.54</v>
      </c>
      <c r="T120" s="556"/>
      <c r="U120" s="23" t="s">
        <v>48</v>
      </c>
      <c r="V120" s="172" t="s">
        <v>110</v>
      </c>
      <c r="W120" s="173">
        <f>W109</f>
        <v>14.55</v>
      </c>
      <c r="X120" s="258" t="s">
        <v>112</v>
      </c>
      <c r="Y120" s="259" t="s">
        <v>113</v>
      </c>
      <c r="Z120" s="665">
        <f>IF('様式11-5'!U$1="LPG",0,Z$23)</f>
        <v>0</v>
      </c>
      <c r="AA120" s="665"/>
      <c r="AB120" s="23" t="s">
        <v>46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54"/>
      <c r="S121" s="254"/>
      <c r="T121" s="25"/>
      <c r="U121" s="25"/>
      <c r="V121" s="25"/>
      <c r="W121" s="165"/>
      <c r="X121" s="260"/>
      <c r="Y121" s="260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52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251" t="s">
        <v>51</v>
      </c>
      <c r="AD122" s="28"/>
      <c r="AE122" s="28"/>
      <c r="AF122" s="28"/>
      <c r="AG122" s="28"/>
      <c r="AH122" s="640">
        <f>R122*AB122</f>
        <v>1320</v>
      </c>
      <c r="AI122" s="641"/>
      <c r="AJ122" s="641"/>
      <c r="AK122" s="642"/>
      <c r="AL122" s="617" t="s">
        <v>52</v>
      </c>
      <c r="AM122" s="618"/>
      <c r="AN122" s="594">
        <f>AN34</f>
        <v>6</v>
      </c>
      <c r="AO122" s="595"/>
      <c r="AP122" s="613" t="s">
        <v>45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46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54"/>
      <c r="S124" s="254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1320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1285.8699999999999</v>
      </c>
      <c r="S126" s="548"/>
      <c r="T126" s="28" t="s">
        <v>71</v>
      </c>
      <c r="U126" s="28"/>
      <c r="V126" s="28"/>
      <c r="W126" s="549">
        <f>$W$27</f>
        <v>13.725000000000003</v>
      </c>
      <c r="X126" s="549"/>
      <c r="Y126" s="28" t="s">
        <v>70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15001.280887500001</v>
      </c>
      <c r="AI126" s="641"/>
      <c r="AJ126" s="641"/>
      <c r="AK126" s="642"/>
      <c r="AL126" s="633" t="s">
        <v>0</v>
      </c>
      <c r="AM126" s="634"/>
      <c r="AN126" s="659">
        <f>AN27</f>
        <v>0.36199999999999999</v>
      </c>
      <c r="AO126" s="660"/>
      <c r="AP126" s="661" t="s">
        <v>72</v>
      </c>
      <c r="AQ126" s="662"/>
      <c r="AR126" s="663">
        <f>AN126*AB129/1000</f>
        <v>1.3598423529411761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203</v>
      </c>
      <c r="M127" s="618"/>
      <c r="N127" s="618"/>
      <c r="O127" s="678"/>
      <c r="P127" s="643" t="s">
        <v>197</v>
      </c>
      <c r="Q127" s="646"/>
      <c r="R127" s="34" t="s">
        <v>157</v>
      </c>
      <c r="S127" s="33">
        <f>IF(P127="夏季",料金単価!$D$3,料金単価!$E$3)</f>
        <v>12.63</v>
      </c>
      <c r="T127" s="148" t="s">
        <v>62</v>
      </c>
      <c r="U127" s="149">
        <f>$U$28</f>
        <v>7.29</v>
      </c>
      <c r="V127" s="148" t="s">
        <v>62</v>
      </c>
      <c r="W127" s="150">
        <f>$W$28</f>
        <v>3.45</v>
      </c>
      <c r="X127" s="151" t="s">
        <v>64</v>
      </c>
      <c r="Y127" s="24" t="s">
        <v>61</v>
      </c>
      <c r="Z127" s="151"/>
      <c r="AA127" s="32"/>
      <c r="AB127" s="702">
        <f>AB$17+AB$19+AB21</f>
        <v>3756.4705882352937</v>
      </c>
      <c r="AC127" s="702"/>
      <c r="AD127" s="24" t="s">
        <v>63</v>
      </c>
      <c r="AE127" s="24"/>
      <c r="AF127" s="24"/>
      <c r="AG127" s="152"/>
      <c r="AH127" s="648">
        <f>(S127+U127+W127)*AB127</f>
        <v>87788.717647058817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255"/>
      <c r="J128" s="252"/>
      <c r="K128" s="252"/>
      <c r="L128" s="259"/>
      <c r="M128" s="259"/>
      <c r="N128" s="259"/>
      <c r="O128" s="259"/>
      <c r="P128" s="259"/>
      <c r="Q128" s="2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253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54"/>
      <c r="S129" s="254"/>
      <c r="T129" s="25"/>
      <c r="U129" s="25"/>
      <c r="V129" s="25"/>
      <c r="W129" s="165"/>
      <c r="X129" s="260"/>
      <c r="Y129" s="260"/>
      <c r="Z129" s="167"/>
      <c r="AA129" s="168"/>
      <c r="AB129" s="711">
        <f>SUM(AB127:AC127)</f>
        <v>3756.4705882352937</v>
      </c>
      <c r="AC129" s="711"/>
      <c r="AD129" s="169" t="s">
        <v>57</v>
      </c>
      <c r="AE129" s="25"/>
      <c r="AF129" s="25"/>
      <c r="AG129" s="25"/>
      <c r="AH129" s="712">
        <f>SUM(AH126:AK127)</f>
        <v>102789.99853455882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111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251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45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111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148.54</v>
      </c>
      <c r="T131" s="556"/>
      <c r="U131" s="23" t="s">
        <v>48</v>
      </c>
      <c r="V131" s="172" t="s">
        <v>110</v>
      </c>
      <c r="W131" s="173">
        <f>W120</f>
        <v>14.55</v>
      </c>
      <c r="X131" s="258" t="s">
        <v>112</v>
      </c>
      <c r="Y131" s="259" t="s">
        <v>113</v>
      </c>
      <c r="Z131" s="665">
        <f>IF('様式11-5'!U$1="LPG",0,AB$23)</f>
        <v>0</v>
      </c>
      <c r="AA131" s="665"/>
      <c r="AB131" s="23" t="s">
        <v>46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54"/>
      <c r="S132" s="254"/>
      <c r="T132" s="25"/>
      <c r="U132" s="25"/>
      <c r="V132" s="25"/>
      <c r="W132" s="165"/>
      <c r="X132" s="260"/>
      <c r="Y132" s="260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52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251" t="s">
        <v>51</v>
      </c>
      <c r="AD133" s="28"/>
      <c r="AE133" s="28"/>
      <c r="AF133" s="28"/>
      <c r="AG133" s="28"/>
      <c r="AH133" s="640">
        <f>R133*AB133</f>
        <v>1320</v>
      </c>
      <c r="AI133" s="641"/>
      <c r="AJ133" s="641"/>
      <c r="AK133" s="642"/>
      <c r="AL133" s="617" t="s">
        <v>52</v>
      </c>
      <c r="AM133" s="618"/>
      <c r="AN133" s="594">
        <f>AN34</f>
        <v>6</v>
      </c>
      <c r="AO133" s="595"/>
      <c r="AP133" s="613" t="s">
        <v>45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46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54"/>
      <c r="S135" s="254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1320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1285.8699999999999</v>
      </c>
      <c r="S137" s="548"/>
      <c r="T137" s="28" t="s">
        <v>71</v>
      </c>
      <c r="U137" s="28"/>
      <c r="V137" s="28"/>
      <c r="W137" s="549">
        <f>$W$27</f>
        <v>13.725000000000003</v>
      </c>
      <c r="X137" s="549"/>
      <c r="Y137" s="28" t="s">
        <v>70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15001.280887500001</v>
      </c>
      <c r="AI137" s="641"/>
      <c r="AJ137" s="641"/>
      <c r="AK137" s="642"/>
      <c r="AL137" s="633" t="s">
        <v>0</v>
      </c>
      <c r="AM137" s="634"/>
      <c r="AN137" s="659">
        <f>AN38</f>
        <v>0.36199999999999999</v>
      </c>
      <c r="AO137" s="660"/>
      <c r="AP137" s="661" t="s">
        <v>72</v>
      </c>
      <c r="AQ137" s="662"/>
      <c r="AR137" s="663">
        <f>AN137*AB140/1000</f>
        <v>7.8192000000000025E-2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203</v>
      </c>
      <c r="M138" s="618"/>
      <c r="N138" s="618"/>
      <c r="O138" s="678"/>
      <c r="P138" s="643" t="s">
        <v>197</v>
      </c>
      <c r="Q138" s="646"/>
      <c r="R138" s="34" t="s">
        <v>157</v>
      </c>
      <c r="S138" s="33">
        <f>IF(P138="夏季",料金単価!$D$3,料金単価!$E$3)</f>
        <v>12.63</v>
      </c>
      <c r="T138" s="148" t="s">
        <v>62</v>
      </c>
      <c r="U138" s="149">
        <f>$U$28</f>
        <v>7.29</v>
      </c>
      <c r="V138" s="148" t="s">
        <v>62</v>
      </c>
      <c r="W138" s="150">
        <f>$W$28</f>
        <v>3.45</v>
      </c>
      <c r="X138" s="151" t="s">
        <v>64</v>
      </c>
      <c r="Y138" s="24" t="s">
        <v>61</v>
      </c>
      <c r="Z138" s="151"/>
      <c r="AA138" s="32"/>
      <c r="AB138" s="702">
        <f>AD$17+AD$19+AD$21</f>
        <v>216.00000000000006</v>
      </c>
      <c r="AC138" s="702"/>
      <c r="AD138" s="24" t="s">
        <v>63</v>
      </c>
      <c r="AE138" s="24"/>
      <c r="AF138" s="24"/>
      <c r="AG138" s="152"/>
      <c r="AH138" s="648">
        <f>(S138+U138+W138)*AB138</f>
        <v>5047.9200000000019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255"/>
      <c r="J139" s="252"/>
      <c r="K139" s="252"/>
      <c r="L139" s="259"/>
      <c r="M139" s="259"/>
      <c r="N139" s="259"/>
      <c r="O139" s="259"/>
      <c r="P139" s="259"/>
      <c r="Q139" s="2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253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54"/>
      <c r="S140" s="254"/>
      <c r="T140" s="25"/>
      <c r="U140" s="25"/>
      <c r="V140" s="25"/>
      <c r="W140" s="165"/>
      <c r="X140" s="260"/>
      <c r="Y140" s="260"/>
      <c r="Z140" s="167"/>
      <c r="AA140" s="168"/>
      <c r="AB140" s="711">
        <f>SUM(AB138:AC138)</f>
        <v>216.00000000000006</v>
      </c>
      <c r="AC140" s="711"/>
      <c r="AD140" s="169" t="s">
        <v>57</v>
      </c>
      <c r="AE140" s="25"/>
      <c r="AF140" s="25"/>
      <c r="AG140" s="25"/>
      <c r="AH140" s="712">
        <f>SUM(AH137:AK138)</f>
        <v>20049.200887500003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111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251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45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111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123.69</v>
      </c>
      <c r="T142" s="556"/>
      <c r="U142" s="23" t="s">
        <v>48</v>
      </c>
      <c r="V142" s="172" t="s">
        <v>110</v>
      </c>
      <c r="W142" s="173">
        <f>W131</f>
        <v>14.55</v>
      </c>
      <c r="X142" s="258" t="s">
        <v>112</v>
      </c>
      <c r="Y142" s="259" t="s">
        <v>113</v>
      </c>
      <c r="Z142" s="665">
        <f>IF('様式11-5'!U$1="LPG",0,AD$22)</f>
        <v>0</v>
      </c>
      <c r="AA142" s="665"/>
      <c r="AB142" s="23" t="s">
        <v>46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54"/>
      <c r="S143" s="254"/>
      <c r="T143" s="25"/>
      <c r="U143" s="25"/>
      <c r="V143" s="25"/>
      <c r="W143" s="165"/>
      <c r="X143" s="260"/>
      <c r="Y143" s="260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52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251" t="s">
        <v>51</v>
      </c>
      <c r="AD144" s="28"/>
      <c r="AE144" s="28"/>
      <c r="AF144" s="28"/>
      <c r="AG144" s="28"/>
      <c r="AH144" s="640">
        <f>R144*AB144</f>
        <v>1320</v>
      </c>
      <c r="AI144" s="641"/>
      <c r="AJ144" s="641"/>
      <c r="AK144" s="642"/>
      <c r="AL144" s="617" t="s">
        <v>52</v>
      </c>
      <c r="AM144" s="618"/>
      <c r="AN144" s="594">
        <f>AN45</f>
        <v>6</v>
      </c>
      <c r="AO144" s="595"/>
      <c r="AP144" s="613" t="s">
        <v>45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IF('様式11-5'!U$1="LPG",AD$22,0)</f>
        <v>0</v>
      </c>
      <c r="Y145" s="644"/>
      <c r="Z145" s="23" t="s">
        <v>46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54"/>
      <c r="S146" s="254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1320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1285.8699999999999</v>
      </c>
      <c r="S148" s="548"/>
      <c r="T148" s="28" t="s">
        <v>71</v>
      </c>
      <c r="U148" s="28"/>
      <c r="V148" s="28"/>
      <c r="W148" s="549">
        <f>$W$27</f>
        <v>13.725000000000003</v>
      </c>
      <c r="X148" s="549"/>
      <c r="Y148" s="28" t="s">
        <v>70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15001.280887500001</v>
      </c>
      <c r="AI148" s="641"/>
      <c r="AJ148" s="641"/>
      <c r="AK148" s="642"/>
      <c r="AL148" s="633" t="s">
        <v>0</v>
      </c>
      <c r="AM148" s="634"/>
      <c r="AN148" s="659">
        <f>AN38</f>
        <v>0.36199999999999999</v>
      </c>
      <c r="AO148" s="660"/>
      <c r="AP148" s="661" t="s">
        <v>72</v>
      </c>
      <c r="AQ148" s="662"/>
      <c r="AR148" s="663">
        <f>AN148*AB151/1000</f>
        <v>8.0798400000000006E-2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197</v>
      </c>
      <c r="Q149" s="646"/>
      <c r="R149" s="34" t="s">
        <v>157</v>
      </c>
      <c r="S149" s="33">
        <f>IF(P149="夏季",料金単価!$D$3,料金単価!$E$3)</f>
        <v>12.63</v>
      </c>
      <c r="T149" s="148" t="s">
        <v>62</v>
      </c>
      <c r="U149" s="149">
        <f>$U$28</f>
        <v>7.29</v>
      </c>
      <c r="V149" s="148" t="s">
        <v>62</v>
      </c>
      <c r="W149" s="150">
        <f>$W$28</f>
        <v>3.45</v>
      </c>
      <c r="X149" s="151" t="s">
        <v>64</v>
      </c>
      <c r="Y149" s="24" t="s">
        <v>61</v>
      </c>
      <c r="Z149" s="151"/>
      <c r="AA149" s="32"/>
      <c r="AB149" s="702">
        <f>AF$17+AF$19+AF$21</f>
        <v>223.20000000000002</v>
      </c>
      <c r="AC149" s="702"/>
      <c r="AD149" s="24" t="s">
        <v>63</v>
      </c>
      <c r="AE149" s="24"/>
      <c r="AF149" s="24"/>
      <c r="AG149" s="152"/>
      <c r="AH149" s="648">
        <f>(S149+U149+W149)*AB149</f>
        <v>5216.1840000000002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255"/>
      <c r="J150" s="252"/>
      <c r="K150" s="252"/>
      <c r="L150" s="259"/>
      <c r="M150" s="259"/>
      <c r="N150" s="259"/>
      <c r="O150" s="259"/>
      <c r="P150" s="259"/>
      <c r="Q150" s="2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253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54"/>
      <c r="S151" s="254"/>
      <c r="T151" s="25"/>
      <c r="U151" s="25"/>
      <c r="V151" s="25"/>
      <c r="W151" s="165"/>
      <c r="X151" s="260"/>
      <c r="Y151" s="260"/>
      <c r="Z151" s="167"/>
      <c r="AA151" s="168"/>
      <c r="AB151" s="711">
        <f>SUM(AB149:AC149)</f>
        <v>223.20000000000002</v>
      </c>
      <c r="AC151" s="711"/>
      <c r="AD151" s="169" t="s">
        <v>57</v>
      </c>
      <c r="AE151" s="25"/>
      <c r="AF151" s="25"/>
      <c r="AG151" s="25"/>
      <c r="AH151" s="712">
        <f>SUM(AH148:AK149)</f>
        <v>20217.464887500002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111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251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AN42</f>
        <v>2.29</v>
      </c>
      <c r="AO152" s="660"/>
      <c r="AP152" s="661" t="s">
        <v>45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111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123.69</v>
      </c>
      <c r="T153" s="556"/>
      <c r="U153" s="23" t="s">
        <v>48</v>
      </c>
      <c r="V153" s="172" t="s">
        <v>110</v>
      </c>
      <c r="W153" s="173">
        <f>W142</f>
        <v>14.55</v>
      </c>
      <c r="X153" s="258" t="s">
        <v>112</v>
      </c>
      <c r="Y153" s="259" t="s">
        <v>113</v>
      </c>
      <c r="Z153" s="665">
        <f>IF('様式11-5'!U$1="LPG",0,AF$22)</f>
        <v>0</v>
      </c>
      <c r="AA153" s="665"/>
      <c r="AB153" s="23" t="s">
        <v>46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54"/>
      <c r="S154" s="254"/>
      <c r="T154" s="25"/>
      <c r="U154" s="25"/>
      <c r="V154" s="25"/>
      <c r="W154" s="165"/>
      <c r="X154" s="260"/>
      <c r="Y154" s="260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52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251" t="s">
        <v>51</v>
      </c>
      <c r="AD155" s="28"/>
      <c r="AE155" s="28"/>
      <c r="AF155" s="28"/>
      <c r="AG155" s="28"/>
      <c r="AH155" s="640">
        <f>R155*AB155</f>
        <v>1320</v>
      </c>
      <c r="AI155" s="641"/>
      <c r="AJ155" s="641"/>
      <c r="AK155" s="642"/>
      <c r="AL155" s="617" t="s">
        <v>52</v>
      </c>
      <c r="AM155" s="618"/>
      <c r="AN155" s="594">
        <f>AN45</f>
        <v>6</v>
      </c>
      <c r="AO155" s="595"/>
      <c r="AP155" s="613" t="s">
        <v>45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IF('様式11-5'!U$1="LPG",AF$22,0)</f>
        <v>0</v>
      </c>
      <c r="Y156" s="644"/>
      <c r="Z156" s="23" t="s">
        <v>46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54"/>
      <c r="S157" s="254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1320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249"/>
      <c r="C158" s="249"/>
      <c r="D158" s="249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249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250"/>
      <c r="D159" s="25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25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180015.37065000003</v>
      </c>
      <c r="AI161" s="641"/>
      <c r="AJ161" s="641"/>
      <c r="AK161" s="642"/>
      <c r="AL161" s="633" t="s">
        <v>0</v>
      </c>
      <c r="AM161" s="634"/>
      <c r="AN161" s="659">
        <v>0.44900000000000001</v>
      </c>
      <c r="AO161" s="660"/>
      <c r="AP161" s="661" t="s">
        <v>72</v>
      </c>
      <c r="AQ161" s="662"/>
      <c r="AR161" s="663">
        <f>AN161*AB166/1000</f>
        <v>14.726955744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4808.9529411764715</v>
      </c>
      <c r="AC162" s="557"/>
      <c r="AD162" s="24" t="s">
        <v>63</v>
      </c>
      <c r="AE162" s="24"/>
      <c r="AF162" s="24"/>
      <c r="AG162" s="152"/>
      <c r="AH162" s="648">
        <f>AH39+AH61+AH50</f>
        <v>116520.92976470591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1351.7823529411767</v>
      </c>
      <c r="AC163" s="557"/>
      <c r="AD163" s="24" t="s">
        <v>63</v>
      </c>
      <c r="AE163" s="24"/>
      <c r="AF163" s="24"/>
      <c r="AG163" s="152"/>
      <c r="AH163" s="648">
        <f>AH28+AH72+AH149</f>
        <v>31591.153588235298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26638.720705882351</v>
      </c>
      <c r="AC164" s="647"/>
      <c r="AD164" s="30" t="s">
        <v>63</v>
      </c>
      <c r="AE164" s="30"/>
      <c r="AF164" s="30"/>
      <c r="AG164" s="253"/>
      <c r="AH164" s="648">
        <f>AH94+AH105+AH116+AH127+AH83+AH138</f>
        <v>622546.90289647062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>
      <c r="B165" s="617"/>
      <c r="C165" s="618"/>
      <c r="D165" s="636"/>
      <c r="E165" s="545"/>
      <c r="F165" s="546"/>
      <c r="G165" s="546"/>
      <c r="H165" s="547"/>
      <c r="I165" s="255"/>
      <c r="J165" s="252"/>
      <c r="K165" s="252"/>
      <c r="L165" s="259"/>
      <c r="M165" s="259"/>
      <c r="N165" s="259"/>
      <c r="O165" s="259"/>
      <c r="P165" s="259"/>
      <c r="Q165" s="2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262"/>
      <c r="AC165" s="262"/>
      <c r="AD165" s="30"/>
      <c r="AE165" s="30"/>
      <c r="AF165" s="30"/>
      <c r="AG165" s="253"/>
      <c r="AH165" s="703"/>
      <c r="AI165" s="704"/>
      <c r="AJ165" s="704"/>
      <c r="AK165" s="705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>
      <c r="B166" s="617"/>
      <c r="C166" s="618"/>
      <c r="D166" s="636"/>
      <c r="E166" s="708" t="s">
        <v>44</v>
      </c>
      <c r="F166" s="709"/>
      <c r="G166" s="709"/>
      <c r="H166" s="710"/>
      <c r="I166" s="163"/>
      <c r="J166" s="25"/>
      <c r="K166" s="25"/>
      <c r="L166" s="25"/>
      <c r="M166" s="25"/>
      <c r="N166" s="25"/>
      <c r="O166" s="25"/>
      <c r="P166" s="25"/>
      <c r="Q166" s="164"/>
      <c r="R166" s="254"/>
      <c r="S166" s="254"/>
      <c r="T166" s="25"/>
      <c r="U166" s="25"/>
      <c r="V166" s="25"/>
      <c r="W166" s="165"/>
      <c r="X166" s="260"/>
      <c r="Y166" s="260"/>
      <c r="Z166" s="167"/>
      <c r="AA166" s="168"/>
      <c r="AB166" s="1045">
        <f>SUM(AB162:AC165)</f>
        <v>32799.455999999998</v>
      </c>
      <c r="AC166" s="1045"/>
      <c r="AD166" s="169" t="s">
        <v>57</v>
      </c>
      <c r="AE166" s="25"/>
      <c r="AF166" s="25"/>
      <c r="AG166" s="25"/>
      <c r="AH166" s="712">
        <f>SUM(AH161:AK164)</f>
        <v>950674.35689941188</v>
      </c>
      <c r="AI166" s="713"/>
      <c r="AJ166" s="713"/>
      <c r="AK166" s="71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45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258"/>
      <c r="Y168" s="259"/>
      <c r="Z168" s="257"/>
      <c r="AA168" s="189"/>
      <c r="AB168" s="557">
        <f>Z32+Z43+Z65+Z54+Z76+Z87+Z142+Z153</f>
        <v>0</v>
      </c>
      <c r="AC168" s="557"/>
      <c r="AD168" s="23" t="s">
        <v>46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56"/>
      <c r="T169" s="556"/>
      <c r="U169" s="23"/>
      <c r="V169" s="172"/>
      <c r="W169" s="187"/>
      <c r="X169" s="258"/>
      <c r="Y169" s="259"/>
      <c r="Z169" s="189"/>
      <c r="AA169" s="189"/>
      <c r="AB169" s="557">
        <f>Z98+Z109+Z120+Z131</f>
        <v>0</v>
      </c>
      <c r="AC169" s="557"/>
      <c r="AD169" s="23" t="s">
        <v>46</v>
      </c>
      <c r="AE169" s="23"/>
      <c r="AF169" s="23"/>
      <c r="AG169" s="23"/>
      <c r="AH169" s="648">
        <f>AH98+AH109+AH120+AH131</f>
        <v>0</v>
      </c>
      <c r="AI169" s="649"/>
      <c r="AJ169" s="649"/>
      <c r="AK169" s="65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>
      <c r="B170" s="617"/>
      <c r="C170" s="618"/>
      <c r="D170" s="636"/>
      <c r="E170" s="708" t="s">
        <v>44</v>
      </c>
      <c r="F170" s="709"/>
      <c r="G170" s="709"/>
      <c r="H170" s="710"/>
      <c r="I170" s="163"/>
      <c r="J170" s="25"/>
      <c r="K170" s="25"/>
      <c r="L170" s="25"/>
      <c r="M170" s="25"/>
      <c r="N170" s="25"/>
      <c r="O170" s="25"/>
      <c r="P170" s="25"/>
      <c r="Q170" s="164"/>
      <c r="R170" s="254"/>
      <c r="S170" s="254"/>
      <c r="T170" s="25"/>
      <c r="U170" s="25"/>
      <c r="V170" s="25"/>
      <c r="W170" s="165"/>
      <c r="X170" s="260"/>
      <c r="Y170" s="260"/>
      <c r="Z170" s="190"/>
      <c r="AA170" s="190"/>
      <c r="AB170" s="1047">
        <f>SUM(AB168:AB169)</f>
        <v>0</v>
      </c>
      <c r="AC170" s="1047"/>
      <c r="AD170" s="167" t="s">
        <v>43</v>
      </c>
      <c r="AE170" s="25"/>
      <c r="AF170" s="25"/>
      <c r="AG170" s="25"/>
      <c r="AH170" s="712">
        <f>SUM(AH167:AK169)</f>
        <v>0</v>
      </c>
      <c r="AI170" s="713"/>
      <c r="AJ170" s="713"/>
      <c r="AK170" s="71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52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15840</v>
      </c>
      <c r="AI171" s="641"/>
      <c r="AJ171" s="641"/>
      <c r="AK171" s="642"/>
      <c r="AL171" s="617" t="s">
        <v>52</v>
      </c>
      <c r="AM171" s="618"/>
      <c r="AN171" s="594">
        <f>AN34</f>
        <v>6</v>
      </c>
      <c r="AO171" s="595"/>
      <c r="AP171" s="613" t="s">
        <v>45</v>
      </c>
      <c r="AQ171" s="614"/>
      <c r="AR171" s="625">
        <f>AN171*AB173/1000</f>
        <v>4.1558823529411768</v>
      </c>
      <c r="AS171" s="626"/>
      <c r="AT171" s="626"/>
      <c r="AU171" s="552" t="s">
        <v>42</v>
      </c>
      <c r="AV171" s="553"/>
      <c r="AW171" s="182"/>
      <c r="AX171" s="7"/>
    </row>
    <row r="172" spans="2:50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706"/>
      <c r="S172" s="707"/>
      <c r="T172" s="23"/>
      <c r="U172" s="23"/>
      <c r="V172" s="23"/>
      <c r="W172" s="23"/>
      <c r="X172" s="657"/>
      <c r="Y172" s="644"/>
      <c r="Z172" s="23"/>
      <c r="AA172" s="23"/>
      <c r="AB172" s="557">
        <f>X35+X46+X68+X101+X112+X123+X134+X57+X79+X90+X145+X156</f>
        <v>692.64705882352939</v>
      </c>
      <c r="AC172" s="557"/>
      <c r="AD172" s="23" t="s">
        <v>46</v>
      </c>
      <c r="AE172" s="23"/>
      <c r="AF172" s="23"/>
      <c r="AG172" s="23"/>
      <c r="AH172" s="558">
        <f>AH35+AH46+AH68+AH101+AH112+AH123+AH134+AH57+AH79+AH90+AH145+AH156</f>
        <v>304764.70588235295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4.25" thickBot="1">
      <c r="B173" s="631"/>
      <c r="C173" s="632"/>
      <c r="D173" s="637"/>
      <c r="E173" s="1050" t="s">
        <v>44</v>
      </c>
      <c r="F173" s="1051"/>
      <c r="G173" s="1051"/>
      <c r="H173" s="1052"/>
      <c r="I173" s="191"/>
      <c r="J173" s="22"/>
      <c r="K173" s="22"/>
      <c r="L173" s="22"/>
      <c r="M173" s="22"/>
      <c r="N173" s="22"/>
      <c r="O173" s="22"/>
      <c r="P173" s="22"/>
      <c r="Q173" s="192"/>
      <c r="R173" s="261"/>
      <c r="S173" s="261"/>
      <c r="T173" s="22"/>
      <c r="U173" s="22"/>
      <c r="V173" s="22"/>
      <c r="W173" s="193"/>
      <c r="X173" s="1048"/>
      <c r="Y173" s="1048"/>
      <c r="Z173" s="22"/>
      <c r="AA173" s="22"/>
      <c r="AB173" s="1049">
        <f>SUM(AB172:AC172)</f>
        <v>692.64705882352939</v>
      </c>
      <c r="AC173" s="1049"/>
      <c r="AD173" s="22" t="s">
        <v>43</v>
      </c>
      <c r="AE173" s="22"/>
      <c r="AF173" s="22"/>
      <c r="AG173" s="22"/>
      <c r="AH173" s="1053">
        <f>SUM(AH171:AK172)</f>
        <v>320604.70588235295</v>
      </c>
      <c r="AI173" s="1054"/>
      <c r="AJ173" s="1054"/>
      <c r="AK173" s="1055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>
        <f>AB172*440</f>
        <v>304764.70588235295</v>
      </c>
    </row>
    <row r="174" spans="2:50" ht="14.25" thickBot="1"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195"/>
      <c r="AE174" s="563" t="s">
        <v>218</v>
      </c>
      <c r="AF174" s="564"/>
      <c r="AG174" s="565"/>
      <c r="AH174" s="566">
        <f>+AH166+AH170+AH173</f>
        <v>1271279.0627817649</v>
      </c>
      <c r="AI174" s="567"/>
      <c r="AJ174" s="567"/>
      <c r="AK174" s="568"/>
      <c r="AP174" s="563" t="s">
        <v>1</v>
      </c>
      <c r="AQ174" s="564"/>
      <c r="AR174" s="569">
        <f>SUM(AR161:AT173)</f>
        <v>18.882838096941178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1063">
        <f>AB166/9.97</f>
        <v>3289.8150451354059</v>
      </c>
      <c r="AO177" s="1064"/>
      <c r="AP177" s="583" t="s">
        <v>220</v>
      </c>
      <c r="AQ177" s="584"/>
      <c r="AR177" s="1046">
        <f>AN177*0.0258</f>
        <v>84.877228164493474</v>
      </c>
      <c r="AS177" s="1046"/>
      <c r="AT177" s="1046"/>
      <c r="AU177" s="586" t="s">
        <v>119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1063">
        <f>AB170/45</f>
        <v>0</v>
      </c>
      <c r="AO178" s="1064"/>
      <c r="AP178" s="583" t="s">
        <v>220</v>
      </c>
      <c r="AQ178" s="584"/>
      <c r="AR178" s="1046">
        <f>AN178*0.0258</f>
        <v>0</v>
      </c>
      <c r="AS178" s="1046"/>
      <c r="AT178" s="1046"/>
      <c r="AU178" s="586" t="s">
        <v>119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116</v>
      </c>
      <c r="AM179" s="599"/>
      <c r="AN179" s="1056">
        <f>AB173/92.9</f>
        <v>7.4558348635471408</v>
      </c>
      <c r="AO179" s="1057"/>
      <c r="AP179" s="602" t="s">
        <v>220</v>
      </c>
      <c r="AQ179" s="603"/>
      <c r="AR179" s="1058">
        <f>AN179*0.0258</f>
        <v>0.19236053947951623</v>
      </c>
      <c r="AS179" s="1058"/>
      <c r="AT179" s="1058"/>
      <c r="AU179" s="629" t="s">
        <v>119</v>
      </c>
      <c r="AV179" s="630"/>
    </row>
    <row r="180" spans="2:48" ht="14.25" thickBot="1">
      <c r="AL180" s="573" t="s">
        <v>1</v>
      </c>
      <c r="AM180" s="574"/>
      <c r="AN180" s="1059">
        <f>SUM(AN177:AO179)</f>
        <v>3297.2708799989532</v>
      </c>
      <c r="AO180" s="1060"/>
      <c r="AP180" s="466" t="s">
        <v>605</v>
      </c>
      <c r="AQ180" s="467"/>
      <c r="AR180" s="1061">
        <f>SUM(AR177:AT179)</f>
        <v>85.069588703972997</v>
      </c>
      <c r="AS180" s="1062"/>
      <c r="AT180" s="1062"/>
      <c r="AU180" s="577" t="s">
        <v>119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5">
    <mergeCell ref="AL179:AM179"/>
    <mergeCell ref="AN179:AO179"/>
    <mergeCell ref="AP179:AQ179"/>
    <mergeCell ref="AR179:AT179"/>
    <mergeCell ref="AU179:AV179"/>
    <mergeCell ref="AL171:AM173"/>
    <mergeCell ref="AN180:AO180"/>
    <mergeCell ref="AL167:AM170"/>
    <mergeCell ref="AN167:AO170"/>
    <mergeCell ref="AP167:AQ170"/>
    <mergeCell ref="AR167:AT170"/>
    <mergeCell ref="AU167:AV170"/>
    <mergeCell ref="S168:T168"/>
    <mergeCell ref="AB168:AC168"/>
    <mergeCell ref="AH168:AK168"/>
    <mergeCell ref="S169:T169"/>
    <mergeCell ref="AB169:AC169"/>
    <mergeCell ref="AE174:AG174"/>
    <mergeCell ref="AH174:AK174"/>
    <mergeCell ref="AP174:AQ174"/>
    <mergeCell ref="AR174:AT174"/>
    <mergeCell ref="AU174:AV174"/>
    <mergeCell ref="AL180:AM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B167:D173"/>
    <mergeCell ref="E167:H169"/>
    <mergeCell ref="S167:T167"/>
    <mergeCell ref="AH167:AK167"/>
    <mergeCell ref="AH169:AK169"/>
    <mergeCell ref="E170:H170"/>
    <mergeCell ref="L164:O164"/>
    <mergeCell ref="P164:Q164"/>
    <mergeCell ref="AB164:AC164"/>
    <mergeCell ref="AH164:AK164"/>
    <mergeCell ref="AB170:AC170"/>
    <mergeCell ref="AH170:AK170"/>
    <mergeCell ref="E171:H172"/>
    <mergeCell ref="R171:S171"/>
    <mergeCell ref="AH171:AK171"/>
    <mergeCell ref="R172:S172"/>
    <mergeCell ref="X172:Y172"/>
    <mergeCell ref="AB172:AC172"/>
    <mergeCell ref="AH172:AK172"/>
    <mergeCell ref="X173:Y173"/>
    <mergeCell ref="AB173:AC173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H163:AK163"/>
    <mergeCell ref="AN160:AQ160"/>
    <mergeCell ref="AR160:AV160"/>
    <mergeCell ref="AP171:AQ173"/>
    <mergeCell ref="AR171:AT173"/>
    <mergeCell ref="AU171:AV173"/>
    <mergeCell ref="B161:D166"/>
    <mergeCell ref="E161:H165"/>
    <mergeCell ref="R161:S161"/>
    <mergeCell ref="W161:X161"/>
    <mergeCell ref="AH161:AK161"/>
    <mergeCell ref="AL161:AM166"/>
    <mergeCell ref="AN161:AO166"/>
    <mergeCell ref="AP161:AQ166"/>
    <mergeCell ref="B160:D160"/>
    <mergeCell ref="E160:H160"/>
    <mergeCell ref="I160:Q160"/>
    <mergeCell ref="R160:AG160"/>
    <mergeCell ref="AH160:AK160"/>
    <mergeCell ref="AL160:AM160"/>
    <mergeCell ref="AH165:AK165"/>
    <mergeCell ref="E166:H166"/>
    <mergeCell ref="AB166:AC166"/>
    <mergeCell ref="AH166:AK166"/>
    <mergeCell ref="R155:S155"/>
    <mergeCell ref="AP148:AQ151"/>
    <mergeCell ref="AR148:AT151"/>
    <mergeCell ref="AU148:AV151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E157:H157"/>
    <mergeCell ref="X157:Y157"/>
    <mergeCell ref="AH157:AK157"/>
    <mergeCell ref="AH155:AK155"/>
    <mergeCell ref="AL155:AM157"/>
    <mergeCell ref="AN155:AO157"/>
    <mergeCell ref="AP155:AQ157"/>
    <mergeCell ref="AR155:AT157"/>
    <mergeCell ref="AU155:AV157"/>
    <mergeCell ref="AL152:AM154"/>
    <mergeCell ref="AN152:AO154"/>
    <mergeCell ref="AP152:AQ154"/>
    <mergeCell ref="AR152:AT154"/>
    <mergeCell ref="AU152:AV154"/>
    <mergeCell ref="S153:T153"/>
    <mergeCell ref="Z153:AA153"/>
    <mergeCell ref="AH153:AK153"/>
    <mergeCell ref="Z154:AA154"/>
    <mergeCell ref="AH154:AK154"/>
    <mergeCell ref="AN147:AQ147"/>
    <mergeCell ref="AR147:AV147"/>
    <mergeCell ref="B148:B157"/>
    <mergeCell ref="C148:D151"/>
    <mergeCell ref="E148:H150"/>
    <mergeCell ref="R148:S148"/>
    <mergeCell ref="W148:X148"/>
    <mergeCell ref="AH148:AK148"/>
    <mergeCell ref="AL148:AM151"/>
    <mergeCell ref="AN148:AO151"/>
    <mergeCell ref="B147:D147"/>
    <mergeCell ref="E147:H147"/>
    <mergeCell ref="I147:Q147"/>
    <mergeCell ref="R147:AG147"/>
    <mergeCell ref="AH147:AK147"/>
    <mergeCell ref="AL147:AM147"/>
    <mergeCell ref="R145:S145"/>
    <mergeCell ref="X145:Y145"/>
    <mergeCell ref="AH145:AK145"/>
    <mergeCell ref="E146:H146"/>
    <mergeCell ref="X146:Y146"/>
    <mergeCell ref="AH146:AK146"/>
    <mergeCell ref="C141:D146"/>
    <mergeCell ref="E151:H151"/>
    <mergeCell ref="AB151:AC151"/>
    <mergeCell ref="AH151:AK151"/>
    <mergeCell ref="C152:D157"/>
    <mergeCell ref="E152:H153"/>
    <mergeCell ref="S152:T152"/>
    <mergeCell ref="AH152:AK152"/>
    <mergeCell ref="E154:H154"/>
    <mergeCell ref="E155:H156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R144:S144"/>
    <mergeCell ref="AP137:AQ140"/>
    <mergeCell ref="AR137:AT140"/>
    <mergeCell ref="AU137:AV140"/>
    <mergeCell ref="I138:K138"/>
    <mergeCell ref="L138:O138"/>
    <mergeCell ref="P138:Q138"/>
    <mergeCell ref="AB138:AC138"/>
    <mergeCell ref="AH138:AK138"/>
    <mergeCell ref="AH139:AK139"/>
    <mergeCell ref="AN136:AQ136"/>
    <mergeCell ref="AR136:AV136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AP144:AQ146"/>
    <mergeCell ref="AR144:AT146"/>
    <mergeCell ref="AU144:AV146"/>
    <mergeCell ref="AL141:AM143"/>
    <mergeCell ref="AN141:AO143"/>
    <mergeCell ref="AP141:AQ143"/>
    <mergeCell ref="AR141:AT143"/>
    <mergeCell ref="AU141:AV143"/>
    <mergeCell ref="S142:T142"/>
    <mergeCell ref="Z142:AA142"/>
    <mergeCell ref="AH142:AK142"/>
    <mergeCell ref="Z143:AA143"/>
    <mergeCell ref="AH143:AK143"/>
    <mergeCell ref="R133:S13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L21:AV21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F00-000000000000}">
          <x14:formula1>
            <xm:f>料金単価!$B$32</xm:f>
          </x14:formula1>
          <xm:sqref>Y1:AK1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H35"/>
  <sheetViews>
    <sheetView workbookViewId="0">
      <selection activeCell="Q50" sqref="Q50"/>
    </sheetView>
  </sheetViews>
  <sheetFormatPr defaultColWidth="8.875" defaultRowHeight="11.25"/>
  <cols>
    <col min="1" max="1" width="8.875" style="201"/>
    <col min="2" max="5" width="10.75" style="201" customWidth="1"/>
    <col min="6" max="6" width="10.5" style="201" bestFit="1" customWidth="1"/>
    <col min="7" max="7" width="10.25" style="201" bestFit="1" customWidth="1"/>
    <col min="8" max="16384" width="8.875" style="201"/>
  </cols>
  <sheetData>
    <row r="1" spans="1:8">
      <c r="A1" s="275" t="s">
        <v>236</v>
      </c>
      <c r="B1" s="275"/>
      <c r="C1" s="275"/>
      <c r="D1" s="275"/>
      <c r="E1" s="275"/>
    </row>
    <row r="2" spans="1:8">
      <c r="A2" s="1065" t="s">
        <v>74</v>
      </c>
      <c r="B2" s="1065"/>
      <c r="C2" s="276" t="s">
        <v>54</v>
      </c>
      <c r="D2" s="276" t="s">
        <v>66</v>
      </c>
      <c r="E2" s="276" t="s">
        <v>237</v>
      </c>
      <c r="F2" s="274" t="s">
        <v>382</v>
      </c>
      <c r="G2" s="274" t="s">
        <v>383</v>
      </c>
    </row>
    <row r="3" spans="1:8">
      <c r="A3" s="1065"/>
      <c r="B3" s="1065"/>
      <c r="C3" s="277">
        <v>1285.8699999999999</v>
      </c>
      <c r="D3" s="276">
        <v>13.49</v>
      </c>
      <c r="E3" s="276">
        <v>12.63</v>
      </c>
      <c r="F3" s="274">
        <v>7.29</v>
      </c>
      <c r="G3" s="274">
        <v>3.45</v>
      </c>
      <c r="H3" s="465"/>
    </row>
    <row r="4" spans="1:8">
      <c r="A4" s="275"/>
      <c r="B4" s="275"/>
      <c r="C4" s="275"/>
      <c r="D4" s="275"/>
      <c r="E4" s="275"/>
    </row>
    <row r="5" spans="1:8">
      <c r="A5" s="275" t="s">
        <v>238</v>
      </c>
      <c r="B5" s="275"/>
      <c r="C5" s="275"/>
      <c r="D5" s="275"/>
      <c r="E5" s="275"/>
    </row>
    <row r="6" spans="1:8">
      <c r="A6" s="1065" t="s">
        <v>56</v>
      </c>
      <c r="B6" s="276" t="s">
        <v>239</v>
      </c>
      <c r="C6" s="276" t="s">
        <v>54</v>
      </c>
      <c r="D6" s="276" t="s">
        <v>49</v>
      </c>
      <c r="E6" s="276" t="s">
        <v>237</v>
      </c>
      <c r="F6" s="274" t="s">
        <v>606</v>
      </c>
    </row>
    <row r="7" spans="1:8">
      <c r="A7" s="1065"/>
      <c r="B7" s="276" t="s">
        <v>240</v>
      </c>
      <c r="C7" s="278">
        <v>1210</v>
      </c>
      <c r="D7" s="276">
        <v>157.34</v>
      </c>
      <c r="E7" s="276">
        <v>132.49</v>
      </c>
      <c r="F7" s="274">
        <v>14.55</v>
      </c>
    </row>
    <row r="8" spans="1:8">
      <c r="A8" s="1065"/>
      <c r="B8" s="276" t="s">
        <v>114</v>
      </c>
      <c r="C8" s="278">
        <v>1650</v>
      </c>
      <c r="D8" s="276">
        <v>148.54</v>
      </c>
      <c r="E8" s="276">
        <v>123.69</v>
      </c>
    </row>
    <row r="9" spans="1:8">
      <c r="A9" s="1065"/>
      <c r="B9" s="276" t="s">
        <v>241</v>
      </c>
      <c r="C9" s="278">
        <v>2310</v>
      </c>
      <c r="D9" s="276">
        <v>141.94</v>
      </c>
      <c r="E9" s="276">
        <v>117.09</v>
      </c>
    </row>
    <row r="10" spans="1:8">
      <c r="A10" s="1065"/>
      <c r="B10" s="276" t="s">
        <v>242</v>
      </c>
      <c r="C10" s="278">
        <v>3300</v>
      </c>
      <c r="D10" s="276">
        <v>137.97</v>
      </c>
      <c r="E10" s="276">
        <v>113.13</v>
      </c>
    </row>
    <row r="11" spans="1:8">
      <c r="A11" s="1065"/>
      <c r="B11" s="276" t="s">
        <v>243</v>
      </c>
      <c r="C11" s="278">
        <v>4620</v>
      </c>
      <c r="D11" s="276">
        <v>135.34</v>
      </c>
      <c r="E11" s="276">
        <v>110.49</v>
      </c>
    </row>
    <row r="12" spans="1:8">
      <c r="A12" s="1065"/>
      <c r="B12" s="276" t="s">
        <v>244</v>
      </c>
      <c r="C12" s="278">
        <v>6820</v>
      </c>
      <c r="D12" s="276">
        <v>132.59</v>
      </c>
      <c r="E12" s="276">
        <v>107.74</v>
      </c>
      <c r="F12" s="465"/>
    </row>
    <row r="13" spans="1:8">
      <c r="A13" s="275"/>
      <c r="B13" s="275"/>
      <c r="C13" s="275"/>
      <c r="D13" s="275"/>
      <c r="E13" s="275"/>
    </row>
    <row r="14" spans="1:8">
      <c r="A14" s="275"/>
      <c r="B14" s="275"/>
      <c r="C14" s="275"/>
      <c r="D14" s="275"/>
      <c r="E14" s="275"/>
    </row>
    <row r="15" spans="1:8">
      <c r="A15" s="275"/>
      <c r="B15" s="275"/>
      <c r="C15" s="275"/>
      <c r="D15" s="275"/>
      <c r="E15" s="275"/>
    </row>
    <row r="16" spans="1:8">
      <c r="A16" s="275" t="s">
        <v>245</v>
      </c>
      <c r="B16" s="275"/>
      <c r="C16" s="275"/>
      <c r="D16" s="275"/>
      <c r="E16" s="275"/>
    </row>
    <row r="17" spans="1:5">
      <c r="A17" s="1065" t="s">
        <v>116</v>
      </c>
      <c r="B17" s="1065"/>
      <c r="C17" s="276" t="s">
        <v>54</v>
      </c>
      <c r="D17" s="276" t="s">
        <v>246</v>
      </c>
      <c r="E17" s="275"/>
    </row>
    <row r="18" spans="1:5">
      <c r="A18" s="1066"/>
      <c r="B18" s="1066"/>
      <c r="C18" s="277">
        <v>1320</v>
      </c>
      <c r="D18" s="279">
        <v>440</v>
      </c>
      <c r="E18" s="275"/>
    </row>
    <row r="19" spans="1:5">
      <c r="A19" s="280" t="s">
        <v>247</v>
      </c>
      <c r="B19" s="281" t="s">
        <v>248</v>
      </c>
      <c r="C19" s="282">
        <v>825</v>
      </c>
      <c r="D19" s="283" t="s">
        <v>249</v>
      </c>
      <c r="E19" s="275"/>
    </row>
    <row r="21" spans="1:5">
      <c r="A21" s="202">
        <v>1</v>
      </c>
      <c r="B21" s="203" t="s">
        <v>421</v>
      </c>
      <c r="C21" s="203"/>
      <c r="D21" s="203"/>
      <c r="E21" s="204"/>
    </row>
    <row r="22" spans="1:5">
      <c r="A22" s="205">
        <v>2</v>
      </c>
      <c r="B22" s="206" t="s">
        <v>370</v>
      </c>
      <c r="C22" s="206"/>
      <c r="D22" s="206"/>
      <c r="E22" s="207"/>
    </row>
    <row r="23" spans="1:5">
      <c r="A23" s="205">
        <v>3</v>
      </c>
      <c r="B23" s="206" t="s">
        <v>371</v>
      </c>
      <c r="C23" s="206"/>
      <c r="D23" s="206"/>
      <c r="E23" s="207"/>
    </row>
    <row r="24" spans="1:5">
      <c r="A24" s="205">
        <v>4</v>
      </c>
      <c r="B24" s="206" t="s">
        <v>372</v>
      </c>
      <c r="C24" s="206"/>
      <c r="D24" s="206"/>
      <c r="E24" s="207"/>
    </row>
    <row r="25" spans="1:5">
      <c r="A25" s="205">
        <v>5</v>
      </c>
      <c r="B25" s="206" t="s">
        <v>374</v>
      </c>
      <c r="C25" s="206"/>
      <c r="D25" s="206"/>
      <c r="E25" s="207"/>
    </row>
    <row r="26" spans="1:5">
      <c r="A26" s="205">
        <v>6</v>
      </c>
      <c r="B26" s="206" t="s">
        <v>373</v>
      </c>
      <c r="C26" s="206"/>
      <c r="D26" s="206"/>
      <c r="E26" s="207"/>
    </row>
    <row r="27" spans="1:5">
      <c r="A27" s="205">
        <v>7</v>
      </c>
      <c r="B27" s="206" t="s">
        <v>375</v>
      </c>
      <c r="C27" s="206"/>
      <c r="D27" s="206"/>
      <c r="E27" s="207"/>
    </row>
    <row r="28" spans="1:5">
      <c r="A28" s="208">
        <v>8</v>
      </c>
      <c r="B28" s="209" t="s">
        <v>376</v>
      </c>
      <c r="C28" s="209"/>
      <c r="D28" s="209"/>
      <c r="E28" s="210"/>
    </row>
    <row r="32" spans="1:5">
      <c r="A32" s="274" t="s">
        <v>380</v>
      </c>
      <c r="B32" s="274" t="s">
        <v>379</v>
      </c>
    </row>
    <row r="34" spans="1:2">
      <c r="A34" s="274" t="s">
        <v>384</v>
      </c>
      <c r="B34" s="274" t="s">
        <v>385</v>
      </c>
    </row>
    <row r="35" spans="1:2">
      <c r="A35" s="274"/>
      <c r="B35" s="274" t="s">
        <v>116</v>
      </c>
    </row>
  </sheetData>
  <mergeCells count="3">
    <mergeCell ref="A2:B3"/>
    <mergeCell ref="A6:A12"/>
    <mergeCell ref="A17:B18"/>
  </mergeCells>
  <phoneticPr fontId="4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  <pageSetUpPr fitToPage="1"/>
  </sheetPr>
  <dimension ref="A1:S523"/>
  <sheetViews>
    <sheetView topLeftCell="A20" zoomScale="90" zoomScaleNormal="90" workbookViewId="0">
      <selection activeCell="Q50" sqref="Q50"/>
    </sheetView>
  </sheetViews>
  <sheetFormatPr defaultColWidth="9" defaultRowHeight="13.5"/>
  <cols>
    <col min="1" max="1" width="2.625" style="211" bestFit="1" customWidth="1"/>
    <col min="2" max="2" width="3.5" style="212" customWidth="1"/>
    <col min="3" max="4" width="22.75" style="212" customWidth="1"/>
    <col min="5" max="5" width="8.5" style="211" bestFit="1" customWidth="1"/>
    <col min="6" max="6" width="27.25" style="213" bestFit="1" customWidth="1"/>
    <col min="7" max="7" width="9" style="213"/>
    <col min="8" max="8" width="49.375" style="212" bestFit="1" customWidth="1"/>
    <col min="9" max="9" width="10" style="212" customWidth="1"/>
    <col min="10" max="10" width="18.375" style="212" bestFit="1" customWidth="1"/>
    <col min="11" max="11" width="6.125" style="212" customWidth="1"/>
    <col min="12" max="12" width="2.5" style="212" bestFit="1" customWidth="1"/>
    <col min="13" max="13" width="43.25" style="212" bestFit="1" customWidth="1"/>
    <col min="14" max="14" width="15" style="212" bestFit="1" customWidth="1"/>
    <col min="15" max="15" width="9" style="212"/>
    <col min="16" max="16" width="18.375" style="212" bestFit="1" customWidth="1"/>
    <col min="17" max="18" width="9" style="212"/>
    <col min="19" max="19" width="16.125" style="212" bestFit="1" customWidth="1"/>
    <col min="20" max="16384" width="9" style="212"/>
  </cols>
  <sheetData>
    <row r="1" spans="1:19" ht="39" customHeight="1">
      <c r="B1" s="353" t="s">
        <v>599</v>
      </c>
      <c r="C1" s="353"/>
      <c r="J1" s="353" t="s">
        <v>600</v>
      </c>
      <c r="L1" s="353" t="s">
        <v>601</v>
      </c>
    </row>
    <row r="2" spans="1:19" s="216" customFormat="1">
      <c r="A2" s="214"/>
      <c r="B2" s="215"/>
      <c r="C2" s="215" t="s">
        <v>250</v>
      </c>
      <c r="D2" s="215" t="s">
        <v>143</v>
      </c>
      <c r="E2" s="215" t="s">
        <v>251</v>
      </c>
      <c r="F2" s="215" t="s">
        <v>252</v>
      </c>
      <c r="G2" s="480" t="s">
        <v>598</v>
      </c>
      <c r="H2" s="215" t="s">
        <v>597</v>
      </c>
      <c r="J2" s="215" t="s">
        <v>307</v>
      </c>
      <c r="L2" s="215"/>
      <c r="M2" s="215" t="s">
        <v>449</v>
      </c>
      <c r="N2" s="215" t="s">
        <v>450</v>
      </c>
      <c r="P2" s="212"/>
    </row>
    <row r="3" spans="1:19">
      <c r="B3" s="217">
        <v>1</v>
      </c>
      <c r="C3" s="217" t="s">
        <v>253</v>
      </c>
      <c r="D3" s="217" t="str">
        <f t="shared" ref="D3:D48" si="0">B3&amp;C3</f>
        <v>1中部西小学校</v>
      </c>
      <c r="E3" s="218">
        <v>1</v>
      </c>
      <c r="F3" s="219" t="s">
        <v>394</v>
      </c>
      <c r="G3" s="219">
        <v>3</v>
      </c>
      <c r="H3" s="219" t="s">
        <v>371</v>
      </c>
      <c r="J3" s="217" t="s">
        <v>308</v>
      </c>
      <c r="L3" s="217">
        <v>1</v>
      </c>
      <c r="M3" s="296" t="s">
        <v>421</v>
      </c>
      <c r="N3" s="297">
        <v>1</v>
      </c>
      <c r="P3" s="484" t="s">
        <v>308</v>
      </c>
      <c r="Q3" s="212">
        <f t="shared" ref="Q3:Q34" si="1">COUNTIF($C$3:$C$523,P3)</f>
        <v>10</v>
      </c>
      <c r="R3" s="212">
        <v>10</v>
      </c>
      <c r="S3" s="486">
        <f>Q3-R3</f>
        <v>0</v>
      </c>
    </row>
    <row r="4" spans="1:19">
      <c r="B4" s="217">
        <v>2</v>
      </c>
      <c r="C4" s="217" t="s">
        <v>253</v>
      </c>
      <c r="D4" s="217" t="str">
        <f t="shared" si="0"/>
        <v>2中部西小学校</v>
      </c>
      <c r="E4" s="218">
        <v>1</v>
      </c>
      <c r="F4" s="219" t="s">
        <v>395</v>
      </c>
      <c r="G4" s="219">
        <v>2</v>
      </c>
      <c r="H4" s="219" t="s">
        <v>369</v>
      </c>
      <c r="J4" s="217" t="s">
        <v>309</v>
      </c>
      <c r="L4" s="217">
        <v>2</v>
      </c>
      <c r="M4" s="297" t="s">
        <v>427</v>
      </c>
      <c r="N4" s="297">
        <v>1</v>
      </c>
      <c r="P4" s="485" t="s">
        <v>309</v>
      </c>
      <c r="Q4" s="212">
        <f t="shared" si="1"/>
        <v>13</v>
      </c>
      <c r="R4" s="212">
        <v>13</v>
      </c>
      <c r="S4" s="486">
        <f t="shared" ref="S4:S57" si="2">Q4-R4</f>
        <v>0</v>
      </c>
    </row>
    <row r="5" spans="1:19">
      <c r="B5" s="217">
        <v>3</v>
      </c>
      <c r="C5" s="217" t="s">
        <v>253</v>
      </c>
      <c r="D5" s="217" t="str">
        <f t="shared" si="0"/>
        <v>3中部西小学校</v>
      </c>
      <c r="E5" s="218">
        <v>1</v>
      </c>
      <c r="F5" s="219" t="s">
        <v>396</v>
      </c>
      <c r="G5" s="219">
        <v>6</v>
      </c>
      <c r="H5" s="219" t="s">
        <v>373</v>
      </c>
      <c r="J5" s="217" t="s">
        <v>310</v>
      </c>
      <c r="L5" s="217">
        <v>3</v>
      </c>
      <c r="M5" s="297" t="s">
        <v>371</v>
      </c>
      <c r="N5" s="297">
        <v>1</v>
      </c>
      <c r="P5" s="485" t="s">
        <v>310</v>
      </c>
      <c r="Q5" s="212">
        <f t="shared" si="1"/>
        <v>6</v>
      </c>
      <c r="R5" s="212">
        <v>6</v>
      </c>
      <c r="S5" s="486">
        <f t="shared" si="2"/>
        <v>0</v>
      </c>
    </row>
    <row r="6" spans="1:19">
      <c r="B6" s="217">
        <v>4</v>
      </c>
      <c r="C6" s="217" t="s">
        <v>253</v>
      </c>
      <c r="D6" s="217" t="str">
        <f t="shared" si="0"/>
        <v>4中部西小学校</v>
      </c>
      <c r="E6" s="218">
        <v>1</v>
      </c>
      <c r="F6" s="219" t="s">
        <v>397</v>
      </c>
      <c r="G6" s="219">
        <v>7</v>
      </c>
      <c r="H6" s="219" t="s">
        <v>375</v>
      </c>
      <c r="J6" s="217" t="s">
        <v>311</v>
      </c>
      <c r="L6" s="217">
        <v>4</v>
      </c>
      <c r="M6" s="297" t="s">
        <v>372</v>
      </c>
      <c r="N6" s="297">
        <v>1</v>
      </c>
      <c r="P6" s="485" t="s">
        <v>311</v>
      </c>
      <c r="Q6" s="212">
        <f t="shared" si="1"/>
        <v>11</v>
      </c>
      <c r="R6" s="212">
        <v>11</v>
      </c>
      <c r="S6" s="486">
        <f t="shared" si="2"/>
        <v>0</v>
      </c>
    </row>
    <row r="7" spans="1:19">
      <c r="B7" s="217">
        <v>5</v>
      </c>
      <c r="C7" s="217" t="s">
        <v>253</v>
      </c>
      <c r="D7" s="217" t="str">
        <f t="shared" si="0"/>
        <v>5中部西小学校</v>
      </c>
      <c r="E7" s="218">
        <v>1</v>
      </c>
      <c r="F7" s="219" t="s">
        <v>398</v>
      </c>
      <c r="G7" s="219">
        <v>7</v>
      </c>
      <c r="H7" s="219" t="s">
        <v>375</v>
      </c>
      <c r="J7" s="217" t="s">
        <v>312</v>
      </c>
      <c r="L7" s="217">
        <v>5</v>
      </c>
      <c r="M7" s="297" t="s">
        <v>374</v>
      </c>
      <c r="N7" s="297">
        <v>0.8</v>
      </c>
      <c r="P7" s="485" t="s">
        <v>312</v>
      </c>
      <c r="Q7" s="212">
        <f t="shared" si="1"/>
        <v>11</v>
      </c>
      <c r="R7" s="212">
        <v>11</v>
      </c>
      <c r="S7" s="486">
        <f t="shared" si="2"/>
        <v>0</v>
      </c>
    </row>
    <row r="8" spans="1:19">
      <c r="B8" s="217">
        <v>6</v>
      </c>
      <c r="C8" s="217" t="s">
        <v>253</v>
      </c>
      <c r="D8" s="217" t="str">
        <f t="shared" si="0"/>
        <v>6中部西小学校</v>
      </c>
      <c r="E8" s="218">
        <v>1</v>
      </c>
      <c r="F8" s="219" t="s">
        <v>399</v>
      </c>
      <c r="G8" s="219">
        <v>5</v>
      </c>
      <c r="H8" s="219" t="s">
        <v>374</v>
      </c>
      <c r="J8" s="217" t="s">
        <v>313</v>
      </c>
      <c r="L8" s="217">
        <v>6</v>
      </c>
      <c r="M8" s="297" t="s">
        <v>373</v>
      </c>
      <c r="N8" s="297">
        <v>0.8</v>
      </c>
      <c r="P8" s="485" t="s">
        <v>313</v>
      </c>
      <c r="Q8" s="212">
        <f t="shared" si="1"/>
        <v>8</v>
      </c>
      <c r="R8" s="212">
        <v>8</v>
      </c>
      <c r="S8" s="486">
        <f t="shared" si="2"/>
        <v>0</v>
      </c>
    </row>
    <row r="9" spans="1:19">
      <c r="B9" s="217">
        <v>7</v>
      </c>
      <c r="C9" s="217" t="s">
        <v>253</v>
      </c>
      <c r="D9" s="217" t="str">
        <f t="shared" si="0"/>
        <v>7中部西小学校</v>
      </c>
      <c r="E9" s="218">
        <v>1</v>
      </c>
      <c r="F9" s="219" t="s">
        <v>400</v>
      </c>
      <c r="G9" s="219">
        <v>4</v>
      </c>
      <c r="H9" s="219" t="s">
        <v>372</v>
      </c>
      <c r="J9" s="217" t="s">
        <v>314</v>
      </c>
      <c r="L9" s="217">
        <v>7</v>
      </c>
      <c r="M9" s="297" t="s">
        <v>375</v>
      </c>
      <c r="N9" s="297">
        <v>0.8</v>
      </c>
      <c r="P9" s="485" t="s">
        <v>314</v>
      </c>
      <c r="Q9" s="212">
        <f t="shared" si="1"/>
        <v>11</v>
      </c>
      <c r="R9" s="212">
        <v>11</v>
      </c>
      <c r="S9" s="486">
        <f t="shared" si="2"/>
        <v>0</v>
      </c>
    </row>
    <row r="10" spans="1:19">
      <c r="B10" s="217">
        <v>8</v>
      </c>
      <c r="C10" s="217" t="s">
        <v>253</v>
      </c>
      <c r="D10" s="217" t="str">
        <f t="shared" si="0"/>
        <v>8中部西小学校</v>
      </c>
      <c r="E10" s="218">
        <v>1</v>
      </c>
      <c r="F10" s="219" t="s">
        <v>401</v>
      </c>
      <c r="G10" s="219">
        <v>6</v>
      </c>
      <c r="H10" s="219" t="s">
        <v>373</v>
      </c>
      <c r="J10" s="217" t="s">
        <v>315</v>
      </c>
      <c r="L10" s="217">
        <v>8</v>
      </c>
      <c r="M10" s="297" t="s">
        <v>376</v>
      </c>
      <c r="N10" s="297">
        <v>0.8</v>
      </c>
      <c r="P10" s="485" t="s">
        <v>315</v>
      </c>
      <c r="Q10" s="212">
        <f t="shared" si="1"/>
        <v>11</v>
      </c>
      <c r="R10" s="212">
        <v>11</v>
      </c>
      <c r="S10" s="486">
        <f t="shared" si="2"/>
        <v>0</v>
      </c>
    </row>
    <row r="11" spans="1:19">
      <c r="B11" s="217">
        <v>9</v>
      </c>
      <c r="C11" s="217" t="s">
        <v>253</v>
      </c>
      <c r="D11" s="217" t="str">
        <f t="shared" si="0"/>
        <v>9中部西小学校</v>
      </c>
      <c r="E11" s="218">
        <v>3</v>
      </c>
      <c r="F11" s="219" t="s">
        <v>402</v>
      </c>
      <c r="G11" s="219">
        <v>8</v>
      </c>
      <c r="H11" s="219" t="s">
        <v>376</v>
      </c>
      <c r="J11" s="217" t="s">
        <v>316</v>
      </c>
      <c r="P11" s="485" t="s">
        <v>316</v>
      </c>
      <c r="Q11" s="212">
        <f t="shared" si="1"/>
        <v>9</v>
      </c>
      <c r="R11" s="212">
        <v>9</v>
      </c>
      <c r="S11" s="486">
        <f t="shared" si="2"/>
        <v>0</v>
      </c>
    </row>
    <row r="12" spans="1:19">
      <c r="B12" s="217">
        <v>10</v>
      </c>
      <c r="C12" s="217" t="s">
        <v>253</v>
      </c>
      <c r="D12" s="217" t="str">
        <f t="shared" si="0"/>
        <v>10中部西小学校</v>
      </c>
      <c r="E12" s="218">
        <v>1</v>
      </c>
      <c r="F12" s="219" t="s">
        <v>403</v>
      </c>
      <c r="G12" s="219">
        <v>7</v>
      </c>
      <c r="H12" s="219" t="s">
        <v>375</v>
      </c>
      <c r="J12" s="217" t="s">
        <v>317</v>
      </c>
      <c r="P12" s="485" t="s">
        <v>317</v>
      </c>
      <c r="Q12" s="212">
        <f t="shared" si="1"/>
        <v>7</v>
      </c>
      <c r="R12" s="212">
        <v>7</v>
      </c>
      <c r="S12" s="486">
        <f t="shared" si="2"/>
        <v>0</v>
      </c>
    </row>
    <row r="13" spans="1:19">
      <c r="B13" s="217">
        <v>1</v>
      </c>
      <c r="C13" s="217" t="s">
        <v>254</v>
      </c>
      <c r="D13" s="217" t="str">
        <f t="shared" si="0"/>
        <v>1浜田小学校</v>
      </c>
      <c r="E13" s="218">
        <v>1</v>
      </c>
      <c r="F13" s="219" t="s">
        <v>394</v>
      </c>
      <c r="G13" s="219">
        <v>3</v>
      </c>
      <c r="H13" s="219" t="s">
        <v>371</v>
      </c>
      <c r="J13" s="217" t="s">
        <v>318</v>
      </c>
      <c r="P13" s="485" t="s">
        <v>318</v>
      </c>
      <c r="Q13" s="212">
        <f t="shared" si="1"/>
        <v>6</v>
      </c>
      <c r="R13" s="212">
        <v>6</v>
      </c>
      <c r="S13" s="486">
        <f t="shared" si="2"/>
        <v>0</v>
      </c>
    </row>
    <row r="14" spans="1:19">
      <c r="B14" s="217">
        <v>2</v>
      </c>
      <c r="C14" s="217" t="s">
        <v>254</v>
      </c>
      <c r="D14" s="217" t="str">
        <f t="shared" si="0"/>
        <v>2浜田小学校</v>
      </c>
      <c r="E14" s="218">
        <v>1</v>
      </c>
      <c r="F14" s="219" t="s">
        <v>395</v>
      </c>
      <c r="G14" s="219">
        <v>2</v>
      </c>
      <c r="H14" s="219" t="s">
        <v>369</v>
      </c>
      <c r="J14" s="217" t="s">
        <v>319</v>
      </c>
      <c r="P14" s="485" t="s">
        <v>319</v>
      </c>
      <c r="Q14" s="212">
        <f t="shared" si="1"/>
        <v>7</v>
      </c>
      <c r="R14" s="212">
        <v>7</v>
      </c>
      <c r="S14" s="486">
        <f t="shared" si="2"/>
        <v>0</v>
      </c>
    </row>
    <row r="15" spans="1:19">
      <c r="B15" s="217">
        <v>3</v>
      </c>
      <c r="C15" s="217" t="s">
        <v>254</v>
      </c>
      <c r="D15" s="217" t="str">
        <f t="shared" si="0"/>
        <v>3浜田小学校</v>
      </c>
      <c r="E15" s="218">
        <v>1</v>
      </c>
      <c r="F15" s="219" t="s">
        <v>404</v>
      </c>
      <c r="G15" s="219">
        <v>7</v>
      </c>
      <c r="H15" s="219" t="s">
        <v>375</v>
      </c>
      <c r="J15" s="217" t="s">
        <v>320</v>
      </c>
      <c r="P15" s="485" t="s">
        <v>320</v>
      </c>
      <c r="Q15" s="212">
        <f t="shared" si="1"/>
        <v>13</v>
      </c>
      <c r="R15" s="212">
        <v>13</v>
      </c>
      <c r="S15" s="486">
        <f t="shared" si="2"/>
        <v>0</v>
      </c>
    </row>
    <row r="16" spans="1:19">
      <c r="B16" s="217">
        <v>4</v>
      </c>
      <c r="C16" s="217" t="s">
        <v>254</v>
      </c>
      <c r="D16" s="217" t="str">
        <f t="shared" si="0"/>
        <v>4浜田小学校</v>
      </c>
      <c r="E16" s="218">
        <v>1</v>
      </c>
      <c r="F16" s="219" t="s">
        <v>405</v>
      </c>
      <c r="G16" s="219">
        <v>6</v>
      </c>
      <c r="H16" s="219" t="s">
        <v>373</v>
      </c>
      <c r="J16" s="217" t="s">
        <v>321</v>
      </c>
      <c r="P16" s="485" t="s">
        <v>321</v>
      </c>
      <c r="Q16" s="212">
        <f t="shared" si="1"/>
        <v>7</v>
      </c>
      <c r="R16" s="212">
        <v>7</v>
      </c>
      <c r="S16" s="486">
        <f t="shared" si="2"/>
        <v>0</v>
      </c>
    </row>
    <row r="17" spans="2:19">
      <c r="B17" s="217">
        <v>5</v>
      </c>
      <c r="C17" s="217" t="s">
        <v>254</v>
      </c>
      <c r="D17" s="217" t="str">
        <f t="shared" si="0"/>
        <v>5浜田小学校</v>
      </c>
      <c r="E17" s="218">
        <v>1</v>
      </c>
      <c r="F17" s="219" t="s">
        <v>399</v>
      </c>
      <c r="G17" s="219">
        <v>5</v>
      </c>
      <c r="H17" s="219" t="s">
        <v>374</v>
      </c>
      <c r="J17" s="217" t="s">
        <v>322</v>
      </c>
      <c r="P17" s="485" t="s">
        <v>322</v>
      </c>
      <c r="Q17" s="212">
        <f t="shared" si="1"/>
        <v>7</v>
      </c>
      <c r="R17" s="212">
        <v>7</v>
      </c>
      <c r="S17" s="486">
        <f t="shared" si="2"/>
        <v>0</v>
      </c>
    </row>
    <row r="18" spans="2:19">
      <c r="B18" s="217">
        <v>6</v>
      </c>
      <c r="C18" s="217" t="s">
        <v>254</v>
      </c>
      <c r="D18" s="217" t="str">
        <f t="shared" si="0"/>
        <v>6浜田小学校</v>
      </c>
      <c r="E18" s="218">
        <v>1</v>
      </c>
      <c r="F18" s="219" t="s">
        <v>400</v>
      </c>
      <c r="G18" s="219">
        <v>4</v>
      </c>
      <c r="H18" s="219" t="s">
        <v>372</v>
      </c>
      <c r="J18" s="217" t="s">
        <v>323</v>
      </c>
      <c r="P18" s="485" t="s">
        <v>323</v>
      </c>
      <c r="Q18" s="212">
        <f t="shared" si="1"/>
        <v>9</v>
      </c>
      <c r="R18" s="212">
        <v>9</v>
      </c>
      <c r="S18" s="486">
        <f t="shared" si="2"/>
        <v>0</v>
      </c>
    </row>
    <row r="19" spans="2:19">
      <c r="B19" s="217">
        <v>7</v>
      </c>
      <c r="C19" s="217" t="s">
        <v>254</v>
      </c>
      <c r="D19" s="217" t="str">
        <f t="shared" si="0"/>
        <v>7浜田小学校</v>
      </c>
      <c r="E19" s="218">
        <v>3</v>
      </c>
      <c r="F19" s="219" t="s">
        <v>406</v>
      </c>
      <c r="G19" s="219">
        <v>8</v>
      </c>
      <c r="H19" s="219" t="s">
        <v>376</v>
      </c>
      <c r="J19" s="217" t="s">
        <v>324</v>
      </c>
      <c r="P19" s="485" t="s">
        <v>324</v>
      </c>
      <c r="Q19" s="212">
        <f t="shared" si="1"/>
        <v>10</v>
      </c>
      <c r="R19" s="212">
        <v>10</v>
      </c>
      <c r="S19" s="486">
        <f t="shared" si="2"/>
        <v>0</v>
      </c>
    </row>
    <row r="20" spans="2:19">
      <c r="B20" s="217">
        <v>8</v>
      </c>
      <c r="C20" s="217" t="s">
        <v>254</v>
      </c>
      <c r="D20" s="217" t="str">
        <f t="shared" si="0"/>
        <v>8浜田小学校</v>
      </c>
      <c r="E20" s="218">
        <v>1</v>
      </c>
      <c r="F20" s="219" t="s">
        <v>407</v>
      </c>
      <c r="G20" s="219">
        <v>7</v>
      </c>
      <c r="H20" s="219" t="s">
        <v>375</v>
      </c>
      <c r="J20" s="217" t="s">
        <v>325</v>
      </c>
      <c r="P20" s="485" t="s">
        <v>325</v>
      </c>
      <c r="Q20" s="212">
        <f t="shared" si="1"/>
        <v>5</v>
      </c>
      <c r="R20" s="212">
        <v>5</v>
      </c>
      <c r="S20" s="486">
        <f t="shared" si="2"/>
        <v>0</v>
      </c>
    </row>
    <row r="21" spans="2:19">
      <c r="B21" s="217">
        <v>9</v>
      </c>
      <c r="C21" s="217" t="s">
        <v>254</v>
      </c>
      <c r="D21" s="217" t="str">
        <f t="shared" si="0"/>
        <v>9浜田小学校</v>
      </c>
      <c r="E21" s="218">
        <v>1</v>
      </c>
      <c r="F21" s="219" t="s">
        <v>397</v>
      </c>
      <c r="G21" s="219">
        <v>7</v>
      </c>
      <c r="H21" s="219" t="s">
        <v>375</v>
      </c>
      <c r="J21" s="217" t="s">
        <v>326</v>
      </c>
      <c r="P21" s="485" t="s">
        <v>326</v>
      </c>
      <c r="Q21" s="212">
        <f t="shared" si="1"/>
        <v>9</v>
      </c>
      <c r="R21" s="212">
        <v>9</v>
      </c>
      <c r="S21" s="486">
        <f t="shared" si="2"/>
        <v>0</v>
      </c>
    </row>
    <row r="22" spans="2:19">
      <c r="B22" s="217">
        <v>10</v>
      </c>
      <c r="C22" s="217" t="s">
        <v>254</v>
      </c>
      <c r="D22" s="217" t="str">
        <f t="shared" si="0"/>
        <v>10浜田小学校</v>
      </c>
      <c r="E22" s="218">
        <v>2</v>
      </c>
      <c r="F22" s="219" t="s">
        <v>408</v>
      </c>
      <c r="G22" s="219">
        <v>8</v>
      </c>
      <c r="H22" s="219" t="s">
        <v>376</v>
      </c>
      <c r="J22" s="217" t="s">
        <v>327</v>
      </c>
      <c r="P22" s="485" t="s">
        <v>327</v>
      </c>
      <c r="Q22" s="212">
        <f t="shared" si="1"/>
        <v>12</v>
      </c>
      <c r="R22" s="212">
        <v>12</v>
      </c>
      <c r="S22" s="486">
        <f t="shared" si="2"/>
        <v>0</v>
      </c>
    </row>
    <row r="23" spans="2:19">
      <c r="B23" s="217">
        <v>11</v>
      </c>
      <c r="C23" s="217" t="s">
        <v>254</v>
      </c>
      <c r="D23" s="217" t="str">
        <f t="shared" si="0"/>
        <v>11浜田小学校</v>
      </c>
      <c r="E23" s="218">
        <v>2</v>
      </c>
      <c r="F23" s="219" t="s">
        <v>409</v>
      </c>
      <c r="G23" s="219">
        <v>1</v>
      </c>
      <c r="H23" s="463" t="s">
        <v>421</v>
      </c>
      <c r="J23" s="217" t="s">
        <v>328</v>
      </c>
      <c r="P23" s="485" t="s">
        <v>328</v>
      </c>
      <c r="Q23" s="212">
        <f t="shared" si="1"/>
        <v>7</v>
      </c>
      <c r="R23" s="212">
        <v>7</v>
      </c>
      <c r="S23" s="486">
        <f t="shared" si="2"/>
        <v>0</v>
      </c>
    </row>
    <row r="24" spans="2:19">
      <c r="B24" s="217">
        <v>12</v>
      </c>
      <c r="C24" s="217" t="s">
        <v>254</v>
      </c>
      <c r="D24" s="217" t="str">
        <f t="shared" si="0"/>
        <v>12浜田小学校</v>
      </c>
      <c r="E24" s="218">
        <v>3</v>
      </c>
      <c r="F24" s="219" t="s">
        <v>409</v>
      </c>
      <c r="G24" s="219">
        <v>1</v>
      </c>
      <c r="H24" s="463" t="s">
        <v>421</v>
      </c>
      <c r="J24" s="217" t="s">
        <v>329</v>
      </c>
      <c r="P24" s="485" t="s">
        <v>329</v>
      </c>
      <c r="Q24" s="212">
        <f t="shared" si="1"/>
        <v>9</v>
      </c>
      <c r="R24" s="212">
        <v>9</v>
      </c>
      <c r="S24" s="486">
        <f t="shared" si="2"/>
        <v>0</v>
      </c>
    </row>
    <row r="25" spans="2:19">
      <c r="B25" s="217">
        <v>13</v>
      </c>
      <c r="C25" s="217" t="s">
        <v>254</v>
      </c>
      <c r="D25" s="217" t="str">
        <f t="shared" si="0"/>
        <v>13浜田小学校</v>
      </c>
      <c r="E25" s="218">
        <v>4</v>
      </c>
      <c r="F25" s="219" t="s">
        <v>409</v>
      </c>
      <c r="G25" s="219">
        <v>1</v>
      </c>
      <c r="H25" s="463" t="s">
        <v>421</v>
      </c>
      <c r="J25" s="217" t="s">
        <v>330</v>
      </c>
      <c r="P25" s="485" t="s">
        <v>330</v>
      </c>
      <c r="Q25" s="212">
        <f t="shared" si="1"/>
        <v>8</v>
      </c>
      <c r="R25" s="212">
        <v>8</v>
      </c>
      <c r="S25" s="486">
        <f t="shared" si="2"/>
        <v>0</v>
      </c>
    </row>
    <row r="26" spans="2:19">
      <c r="B26" s="217">
        <v>1</v>
      </c>
      <c r="C26" s="217" t="s">
        <v>255</v>
      </c>
      <c r="D26" s="217" t="str">
        <f t="shared" si="0"/>
        <v>1橋北小学校</v>
      </c>
      <c r="E26" s="218">
        <v>1</v>
      </c>
      <c r="F26" s="219" t="s">
        <v>394</v>
      </c>
      <c r="G26" s="219">
        <v>3</v>
      </c>
      <c r="H26" s="219" t="s">
        <v>371</v>
      </c>
      <c r="J26" s="217" t="s">
        <v>331</v>
      </c>
      <c r="P26" s="485" t="s">
        <v>331</v>
      </c>
      <c r="Q26" s="212">
        <f t="shared" si="1"/>
        <v>13</v>
      </c>
      <c r="R26" s="212">
        <v>13</v>
      </c>
      <c r="S26" s="486">
        <f t="shared" si="2"/>
        <v>0</v>
      </c>
    </row>
    <row r="27" spans="2:19">
      <c r="B27" s="217">
        <v>2</v>
      </c>
      <c r="C27" s="217" t="s">
        <v>255</v>
      </c>
      <c r="D27" s="217" t="str">
        <f t="shared" si="0"/>
        <v>2橋北小学校</v>
      </c>
      <c r="E27" s="218">
        <v>1</v>
      </c>
      <c r="F27" s="219" t="s">
        <v>395</v>
      </c>
      <c r="G27" s="219">
        <v>2</v>
      </c>
      <c r="H27" s="219" t="s">
        <v>369</v>
      </c>
      <c r="J27" s="217" t="s">
        <v>332</v>
      </c>
      <c r="P27" s="485" t="s">
        <v>332</v>
      </c>
      <c r="Q27" s="212">
        <f t="shared" si="1"/>
        <v>10</v>
      </c>
      <c r="R27" s="212">
        <v>10</v>
      </c>
      <c r="S27" s="486">
        <f t="shared" si="2"/>
        <v>0</v>
      </c>
    </row>
    <row r="28" spans="2:19">
      <c r="B28" s="217">
        <v>3</v>
      </c>
      <c r="C28" s="217" t="s">
        <v>255</v>
      </c>
      <c r="D28" s="217" t="str">
        <f t="shared" si="0"/>
        <v>3橋北小学校</v>
      </c>
      <c r="E28" s="218">
        <v>1</v>
      </c>
      <c r="F28" s="219" t="s">
        <v>410</v>
      </c>
      <c r="G28" s="219">
        <v>7</v>
      </c>
      <c r="H28" s="219" t="s">
        <v>375</v>
      </c>
      <c r="J28" s="217" t="s">
        <v>333</v>
      </c>
      <c r="P28" s="485" t="s">
        <v>333</v>
      </c>
      <c r="Q28" s="212">
        <f t="shared" si="1"/>
        <v>8</v>
      </c>
      <c r="R28" s="212">
        <v>8</v>
      </c>
      <c r="S28" s="486">
        <f t="shared" si="2"/>
        <v>0</v>
      </c>
    </row>
    <row r="29" spans="2:19">
      <c r="B29" s="217">
        <v>4</v>
      </c>
      <c r="C29" s="217" t="s">
        <v>255</v>
      </c>
      <c r="D29" s="217" t="str">
        <f t="shared" si="0"/>
        <v>4橋北小学校</v>
      </c>
      <c r="E29" s="218">
        <v>1</v>
      </c>
      <c r="F29" s="219" t="s">
        <v>399</v>
      </c>
      <c r="G29" s="219">
        <v>5</v>
      </c>
      <c r="H29" s="219" t="s">
        <v>374</v>
      </c>
      <c r="J29" s="217" t="s">
        <v>334</v>
      </c>
      <c r="P29" s="485" t="s">
        <v>334</v>
      </c>
      <c r="Q29" s="212">
        <f t="shared" si="1"/>
        <v>10</v>
      </c>
      <c r="R29" s="212">
        <v>10</v>
      </c>
      <c r="S29" s="486">
        <f t="shared" si="2"/>
        <v>0</v>
      </c>
    </row>
    <row r="30" spans="2:19">
      <c r="B30" s="217">
        <v>5</v>
      </c>
      <c r="C30" s="217" t="s">
        <v>255</v>
      </c>
      <c r="D30" s="217" t="str">
        <f t="shared" si="0"/>
        <v>5橋北小学校</v>
      </c>
      <c r="E30" s="218">
        <v>1</v>
      </c>
      <c r="F30" s="219" t="s">
        <v>400</v>
      </c>
      <c r="G30" s="219">
        <v>4</v>
      </c>
      <c r="H30" s="219" t="s">
        <v>372</v>
      </c>
      <c r="J30" s="217" t="s">
        <v>335</v>
      </c>
      <c r="P30" s="485" t="s">
        <v>335</v>
      </c>
      <c r="Q30" s="212">
        <f t="shared" si="1"/>
        <v>11</v>
      </c>
      <c r="R30" s="212">
        <v>11</v>
      </c>
      <c r="S30" s="486">
        <f t="shared" si="2"/>
        <v>0</v>
      </c>
    </row>
    <row r="31" spans="2:19">
      <c r="B31" s="217">
        <v>6</v>
      </c>
      <c r="C31" s="217" t="s">
        <v>255</v>
      </c>
      <c r="D31" s="217" t="str">
        <f t="shared" si="0"/>
        <v>6橋北小学校</v>
      </c>
      <c r="E31" s="218">
        <v>3</v>
      </c>
      <c r="F31" s="219" t="s">
        <v>411</v>
      </c>
      <c r="G31" s="219">
        <v>8</v>
      </c>
      <c r="H31" s="219" t="s">
        <v>376</v>
      </c>
      <c r="J31" s="217" t="s">
        <v>336</v>
      </c>
      <c r="P31" s="485" t="s">
        <v>336</v>
      </c>
      <c r="Q31" s="212">
        <f t="shared" si="1"/>
        <v>9</v>
      </c>
      <c r="R31" s="212">
        <v>9</v>
      </c>
      <c r="S31" s="486">
        <f t="shared" si="2"/>
        <v>0</v>
      </c>
    </row>
    <row r="32" spans="2:19">
      <c r="B32" s="217">
        <v>1</v>
      </c>
      <c r="C32" s="217" t="s">
        <v>256</v>
      </c>
      <c r="D32" s="217" t="str">
        <f t="shared" si="0"/>
        <v>1海蔵小学校</v>
      </c>
      <c r="E32" s="218">
        <v>1</v>
      </c>
      <c r="F32" s="219" t="s">
        <v>400</v>
      </c>
      <c r="G32" s="219">
        <v>4</v>
      </c>
      <c r="H32" s="219" t="s">
        <v>372</v>
      </c>
      <c r="J32" s="217" t="s">
        <v>337</v>
      </c>
      <c r="P32" s="485" t="s">
        <v>337</v>
      </c>
      <c r="Q32" s="212">
        <f t="shared" si="1"/>
        <v>8</v>
      </c>
      <c r="R32" s="212">
        <v>8</v>
      </c>
      <c r="S32" s="486">
        <f t="shared" si="2"/>
        <v>0</v>
      </c>
    </row>
    <row r="33" spans="2:19">
      <c r="B33" s="217">
        <v>2</v>
      </c>
      <c r="C33" s="217" t="s">
        <v>256</v>
      </c>
      <c r="D33" s="217" t="str">
        <f t="shared" si="0"/>
        <v>2海蔵小学校</v>
      </c>
      <c r="E33" s="218">
        <v>1</v>
      </c>
      <c r="F33" s="219" t="s">
        <v>412</v>
      </c>
      <c r="G33" s="219">
        <v>8</v>
      </c>
      <c r="H33" s="219" t="s">
        <v>376</v>
      </c>
      <c r="J33" s="217" t="s">
        <v>338</v>
      </c>
      <c r="P33" s="485" t="s">
        <v>338</v>
      </c>
      <c r="Q33" s="212">
        <f t="shared" si="1"/>
        <v>8</v>
      </c>
      <c r="R33" s="212">
        <v>8</v>
      </c>
      <c r="S33" s="486">
        <f t="shared" si="2"/>
        <v>0</v>
      </c>
    </row>
    <row r="34" spans="2:19">
      <c r="B34" s="217">
        <v>3</v>
      </c>
      <c r="C34" s="217" t="s">
        <v>256</v>
      </c>
      <c r="D34" s="217" t="str">
        <f t="shared" si="0"/>
        <v>3海蔵小学校</v>
      </c>
      <c r="E34" s="218">
        <v>3</v>
      </c>
      <c r="F34" s="481" t="s">
        <v>617</v>
      </c>
      <c r="G34" s="219">
        <v>8</v>
      </c>
      <c r="H34" s="219" t="s">
        <v>376</v>
      </c>
      <c r="J34" s="217" t="s">
        <v>339</v>
      </c>
      <c r="P34" s="485" t="s">
        <v>339</v>
      </c>
      <c r="Q34" s="212">
        <f t="shared" si="1"/>
        <v>6</v>
      </c>
      <c r="R34" s="212">
        <v>6</v>
      </c>
      <c r="S34" s="486">
        <f t="shared" si="2"/>
        <v>0</v>
      </c>
    </row>
    <row r="35" spans="2:19">
      <c r="B35" s="217">
        <v>4</v>
      </c>
      <c r="C35" s="217" t="s">
        <v>256</v>
      </c>
      <c r="D35" s="217" t="str">
        <f t="shared" si="0"/>
        <v>4海蔵小学校</v>
      </c>
      <c r="E35" s="218">
        <v>1</v>
      </c>
      <c r="F35" s="219" t="s">
        <v>410</v>
      </c>
      <c r="G35" s="219">
        <v>7</v>
      </c>
      <c r="H35" s="219" t="s">
        <v>375</v>
      </c>
      <c r="J35" s="217" t="s">
        <v>340</v>
      </c>
      <c r="P35" s="485" t="s">
        <v>340</v>
      </c>
      <c r="Q35" s="212">
        <f t="shared" ref="Q35:Q57" si="3">COUNTIF($C$3:$C$523,P35)</f>
        <v>11</v>
      </c>
      <c r="R35" s="212">
        <v>11</v>
      </c>
      <c r="S35" s="486">
        <f t="shared" si="2"/>
        <v>0</v>
      </c>
    </row>
    <row r="36" spans="2:19">
      <c r="B36" s="217">
        <v>5</v>
      </c>
      <c r="C36" s="217" t="s">
        <v>256</v>
      </c>
      <c r="D36" s="217" t="str">
        <f t="shared" si="0"/>
        <v>5海蔵小学校</v>
      </c>
      <c r="E36" s="218">
        <v>1</v>
      </c>
      <c r="F36" s="219" t="s">
        <v>394</v>
      </c>
      <c r="G36" s="219">
        <v>3</v>
      </c>
      <c r="H36" s="219" t="s">
        <v>371</v>
      </c>
      <c r="J36" s="217" t="s">
        <v>341</v>
      </c>
      <c r="P36" s="485" t="s">
        <v>341</v>
      </c>
      <c r="Q36" s="212">
        <f t="shared" si="3"/>
        <v>9</v>
      </c>
      <c r="R36" s="212">
        <v>9</v>
      </c>
      <c r="S36" s="486">
        <f t="shared" si="2"/>
        <v>0</v>
      </c>
    </row>
    <row r="37" spans="2:19">
      <c r="B37" s="217">
        <v>6</v>
      </c>
      <c r="C37" s="217" t="s">
        <v>256</v>
      </c>
      <c r="D37" s="217" t="str">
        <f t="shared" si="0"/>
        <v>6海蔵小学校</v>
      </c>
      <c r="E37" s="218">
        <v>1</v>
      </c>
      <c r="F37" s="219" t="s">
        <v>395</v>
      </c>
      <c r="G37" s="219">
        <v>2</v>
      </c>
      <c r="H37" s="219" t="s">
        <v>369</v>
      </c>
      <c r="J37" s="217" t="s">
        <v>342</v>
      </c>
      <c r="P37" s="485" t="s">
        <v>342</v>
      </c>
      <c r="Q37" s="212">
        <f t="shared" si="3"/>
        <v>17</v>
      </c>
      <c r="R37" s="212">
        <v>17</v>
      </c>
      <c r="S37" s="486">
        <f t="shared" si="2"/>
        <v>0</v>
      </c>
    </row>
    <row r="38" spans="2:19">
      <c r="B38" s="217">
        <v>7</v>
      </c>
      <c r="C38" s="217" t="s">
        <v>256</v>
      </c>
      <c r="D38" s="217" t="str">
        <f t="shared" si="0"/>
        <v>7海蔵小学校</v>
      </c>
      <c r="E38" s="218">
        <v>1</v>
      </c>
      <c r="F38" s="219" t="s">
        <v>399</v>
      </c>
      <c r="G38" s="219">
        <v>5</v>
      </c>
      <c r="H38" s="219" t="s">
        <v>374</v>
      </c>
      <c r="J38" s="217" t="s">
        <v>343</v>
      </c>
      <c r="P38" s="485"/>
      <c r="Q38" s="212">
        <f t="shared" si="3"/>
        <v>0</v>
      </c>
      <c r="S38" s="486">
        <f t="shared" si="2"/>
        <v>0</v>
      </c>
    </row>
    <row r="39" spans="2:19">
      <c r="B39" s="217">
        <v>8</v>
      </c>
      <c r="C39" s="217" t="s">
        <v>256</v>
      </c>
      <c r="D39" s="217" t="str">
        <f t="shared" si="0"/>
        <v>8海蔵小学校</v>
      </c>
      <c r="E39" s="218">
        <v>1</v>
      </c>
      <c r="F39" s="219" t="s">
        <v>399</v>
      </c>
      <c r="G39" s="219">
        <v>5</v>
      </c>
      <c r="H39" s="219" t="s">
        <v>374</v>
      </c>
      <c r="J39" s="217" t="s">
        <v>344</v>
      </c>
      <c r="P39" s="485" t="s">
        <v>343</v>
      </c>
      <c r="Q39" s="212">
        <f t="shared" si="3"/>
        <v>11</v>
      </c>
      <c r="R39" s="212">
        <v>11</v>
      </c>
      <c r="S39" s="486">
        <f t="shared" si="2"/>
        <v>0</v>
      </c>
    </row>
    <row r="40" spans="2:19">
      <c r="B40" s="217">
        <v>9</v>
      </c>
      <c r="C40" s="217" t="s">
        <v>256</v>
      </c>
      <c r="D40" s="217" t="str">
        <f>B40&amp;C40</f>
        <v>9海蔵小学校</v>
      </c>
      <c r="E40" s="218">
        <v>1</v>
      </c>
      <c r="F40" s="219" t="s">
        <v>413</v>
      </c>
      <c r="G40" s="219">
        <v>8</v>
      </c>
      <c r="H40" s="219" t="s">
        <v>376</v>
      </c>
      <c r="J40" s="217" t="s">
        <v>345</v>
      </c>
      <c r="P40" s="485" t="s">
        <v>344</v>
      </c>
      <c r="Q40" s="212">
        <f t="shared" si="3"/>
        <v>12</v>
      </c>
      <c r="R40" s="212">
        <v>12</v>
      </c>
      <c r="S40" s="486">
        <f t="shared" si="2"/>
        <v>0</v>
      </c>
    </row>
    <row r="41" spans="2:19">
      <c r="B41" s="217">
        <v>10</v>
      </c>
      <c r="C41" s="217" t="s">
        <v>256</v>
      </c>
      <c r="D41" s="217" t="str">
        <f>B41&amp;C41</f>
        <v>10海蔵小学校</v>
      </c>
      <c r="E41" s="218">
        <v>1</v>
      </c>
      <c r="F41" s="219" t="s">
        <v>414</v>
      </c>
      <c r="G41" s="219">
        <v>7</v>
      </c>
      <c r="H41" s="219" t="s">
        <v>375</v>
      </c>
      <c r="J41" s="217" t="s">
        <v>346</v>
      </c>
      <c r="P41" s="485" t="s">
        <v>345</v>
      </c>
      <c r="Q41" s="212">
        <f t="shared" si="3"/>
        <v>11</v>
      </c>
      <c r="R41" s="212">
        <v>11</v>
      </c>
      <c r="S41" s="486">
        <f t="shared" si="2"/>
        <v>0</v>
      </c>
    </row>
    <row r="42" spans="2:19">
      <c r="B42" s="217">
        <v>11</v>
      </c>
      <c r="C42" s="217" t="s">
        <v>256</v>
      </c>
      <c r="D42" s="217" t="str">
        <f>B42&amp;C42</f>
        <v>11海蔵小学校</v>
      </c>
      <c r="E42" s="218">
        <v>1</v>
      </c>
      <c r="F42" s="219" t="s">
        <v>410</v>
      </c>
      <c r="G42" s="219">
        <v>7</v>
      </c>
      <c r="H42" s="219" t="s">
        <v>375</v>
      </c>
      <c r="J42" s="217" t="s">
        <v>347</v>
      </c>
      <c r="P42" s="485" t="s">
        <v>346</v>
      </c>
      <c r="Q42" s="212">
        <f t="shared" si="3"/>
        <v>6</v>
      </c>
      <c r="R42" s="212">
        <v>6</v>
      </c>
      <c r="S42" s="486">
        <f t="shared" si="2"/>
        <v>0</v>
      </c>
    </row>
    <row r="43" spans="2:19">
      <c r="B43" s="217">
        <v>1</v>
      </c>
      <c r="C43" s="217" t="s">
        <v>257</v>
      </c>
      <c r="D43" s="217" t="str">
        <f t="shared" si="0"/>
        <v>1塩浜小学校</v>
      </c>
      <c r="E43" s="218">
        <v>1</v>
      </c>
      <c r="F43" s="219" t="s">
        <v>394</v>
      </c>
      <c r="G43" s="219">
        <v>3</v>
      </c>
      <c r="H43" s="219" t="s">
        <v>371</v>
      </c>
      <c r="J43" s="217" t="s">
        <v>348</v>
      </c>
      <c r="P43" s="485" t="s">
        <v>347</v>
      </c>
      <c r="Q43" s="212">
        <f t="shared" si="3"/>
        <v>11</v>
      </c>
      <c r="R43" s="212">
        <v>11</v>
      </c>
      <c r="S43" s="486">
        <f t="shared" si="2"/>
        <v>0</v>
      </c>
    </row>
    <row r="44" spans="2:19">
      <c r="B44" s="217">
        <v>2</v>
      </c>
      <c r="C44" s="217" t="s">
        <v>257</v>
      </c>
      <c r="D44" s="217" t="str">
        <f t="shared" si="0"/>
        <v>2塩浜小学校</v>
      </c>
      <c r="E44" s="218">
        <v>1</v>
      </c>
      <c r="F44" s="219" t="s">
        <v>395</v>
      </c>
      <c r="G44" s="219">
        <v>2</v>
      </c>
      <c r="H44" s="219" t="s">
        <v>369</v>
      </c>
      <c r="J44" s="217" t="s">
        <v>349</v>
      </c>
      <c r="P44" s="485" t="s">
        <v>348</v>
      </c>
      <c r="Q44" s="212">
        <f t="shared" si="3"/>
        <v>2</v>
      </c>
      <c r="R44" s="212">
        <v>2</v>
      </c>
      <c r="S44" s="486">
        <f t="shared" si="2"/>
        <v>0</v>
      </c>
    </row>
    <row r="45" spans="2:19">
      <c r="B45" s="217">
        <v>3</v>
      </c>
      <c r="C45" s="217" t="s">
        <v>257</v>
      </c>
      <c r="D45" s="217" t="str">
        <f t="shared" si="0"/>
        <v>3塩浜小学校</v>
      </c>
      <c r="E45" s="218">
        <v>1</v>
      </c>
      <c r="F45" s="219" t="s">
        <v>415</v>
      </c>
      <c r="G45" s="219">
        <v>7</v>
      </c>
      <c r="H45" s="219" t="s">
        <v>375</v>
      </c>
      <c r="J45" s="217" t="s">
        <v>350</v>
      </c>
      <c r="P45" s="485" t="s">
        <v>349</v>
      </c>
      <c r="Q45" s="212">
        <f t="shared" si="3"/>
        <v>12</v>
      </c>
      <c r="R45" s="212">
        <v>12</v>
      </c>
      <c r="S45" s="486">
        <f t="shared" si="2"/>
        <v>0</v>
      </c>
    </row>
    <row r="46" spans="2:19">
      <c r="B46" s="217">
        <v>4</v>
      </c>
      <c r="C46" s="217" t="s">
        <v>257</v>
      </c>
      <c r="D46" s="217" t="str">
        <f t="shared" si="0"/>
        <v>4塩浜小学校</v>
      </c>
      <c r="E46" s="218">
        <v>1</v>
      </c>
      <c r="F46" s="219" t="s">
        <v>416</v>
      </c>
      <c r="G46" s="219">
        <v>8</v>
      </c>
      <c r="H46" s="219" t="s">
        <v>376</v>
      </c>
      <c r="J46" s="217" t="s">
        <v>351</v>
      </c>
      <c r="P46" s="485" t="s">
        <v>350</v>
      </c>
      <c r="Q46" s="212">
        <f t="shared" si="3"/>
        <v>10</v>
      </c>
      <c r="R46" s="212">
        <v>10</v>
      </c>
      <c r="S46" s="486">
        <f t="shared" si="2"/>
        <v>0</v>
      </c>
    </row>
    <row r="47" spans="2:19">
      <c r="B47" s="217">
        <v>5</v>
      </c>
      <c r="C47" s="217" t="s">
        <v>257</v>
      </c>
      <c r="D47" s="217" t="str">
        <f t="shared" si="0"/>
        <v>5塩浜小学校</v>
      </c>
      <c r="E47" s="218">
        <v>1</v>
      </c>
      <c r="F47" s="219" t="s">
        <v>417</v>
      </c>
      <c r="G47" s="219">
        <v>7</v>
      </c>
      <c r="H47" s="219" t="s">
        <v>375</v>
      </c>
      <c r="J47" s="217" t="s">
        <v>352</v>
      </c>
      <c r="P47" s="485" t="s">
        <v>351</v>
      </c>
      <c r="Q47" s="212">
        <f t="shared" si="3"/>
        <v>12</v>
      </c>
      <c r="R47" s="212">
        <v>12</v>
      </c>
      <c r="S47" s="486">
        <f t="shared" si="2"/>
        <v>0</v>
      </c>
    </row>
    <row r="48" spans="2:19">
      <c r="B48" s="217">
        <v>6</v>
      </c>
      <c r="C48" s="217" t="s">
        <v>257</v>
      </c>
      <c r="D48" s="217" t="str">
        <f t="shared" si="0"/>
        <v>6塩浜小学校</v>
      </c>
      <c r="E48" s="218">
        <v>1</v>
      </c>
      <c r="F48" s="219" t="s">
        <v>418</v>
      </c>
      <c r="G48" s="219">
        <v>7</v>
      </c>
      <c r="H48" s="219" t="s">
        <v>375</v>
      </c>
      <c r="J48" s="217" t="s">
        <v>353</v>
      </c>
      <c r="P48" s="485" t="s">
        <v>352</v>
      </c>
      <c r="Q48" s="212">
        <f t="shared" si="3"/>
        <v>10</v>
      </c>
      <c r="R48" s="212">
        <v>10</v>
      </c>
      <c r="S48" s="486">
        <f t="shared" si="2"/>
        <v>0</v>
      </c>
    </row>
    <row r="49" spans="2:19">
      <c r="B49" s="217">
        <v>7</v>
      </c>
      <c r="C49" s="217" t="s">
        <v>257</v>
      </c>
      <c r="D49" s="217" t="str">
        <f t="shared" ref="D49:D90" si="4">B49&amp;C49</f>
        <v>7塩浜小学校</v>
      </c>
      <c r="E49" s="218">
        <v>1</v>
      </c>
      <c r="F49" s="219" t="s">
        <v>419</v>
      </c>
      <c r="G49" s="219">
        <v>7</v>
      </c>
      <c r="H49" s="219" t="s">
        <v>375</v>
      </c>
      <c r="J49" s="217" t="s">
        <v>354</v>
      </c>
      <c r="P49" s="485" t="s">
        <v>353</v>
      </c>
      <c r="Q49" s="212">
        <f t="shared" si="3"/>
        <v>10</v>
      </c>
      <c r="R49" s="212">
        <v>10</v>
      </c>
      <c r="S49" s="486">
        <f t="shared" si="2"/>
        <v>0</v>
      </c>
    </row>
    <row r="50" spans="2:19">
      <c r="B50" s="217">
        <v>8</v>
      </c>
      <c r="C50" s="217" t="s">
        <v>257</v>
      </c>
      <c r="D50" s="217" t="str">
        <f t="shared" si="4"/>
        <v>8塩浜小学校</v>
      </c>
      <c r="E50" s="218">
        <v>1</v>
      </c>
      <c r="F50" s="219" t="s">
        <v>399</v>
      </c>
      <c r="G50" s="219">
        <v>5</v>
      </c>
      <c r="H50" s="464" t="s">
        <v>374</v>
      </c>
      <c r="J50" s="217" t="s">
        <v>355</v>
      </c>
      <c r="P50" s="485" t="s">
        <v>354</v>
      </c>
      <c r="Q50" s="212">
        <f t="shared" si="3"/>
        <v>11</v>
      </c>
      <c r="R50" s="212">
        <v>11</v>
      </c>
      <c r="S50" s="486">
        <f t="shared" si="2"/>
        <v>0</v>
      </c>
    </row>
    <row r="51" spans="2:19">
      <c r="B51" s="217">
        <v>9</v>
      </c>
      <c r="C51" s="217" t="s">
        <v>257</v>
      </c>
      <c r="D51" s="217" t="str">
        <f t="shared" si="4"/>
        <v>9塩浜小学校</v>
      </c>
      <c r="E51" s="218">
        <v>1</v>
      </c>
      <c r="F51" s="219" t="s">
        <v>420</v>
      </c>
      <c r="G51" s="219">
        <v>8</v>
      </c>
      <c r="H51" s="219" t="s">
        <v>376</v>
      </c>
      <c r="J51" s="217" t="s">
        <v>356</v>
      </c>
      <c r="P51" s="485" t="s">
        <v>355</v>
      </c>
      <c r="Q51" s="212">
        <f t="shared" si="3"/>
        <v>13</v>
      </c>
      <c r="R51" s="212">
        <v>13</v>
      </c>
      <c r="S51" s="486">
        <f t="shared" si="2"/>
        <v>0</v>
      </c>
    </row>
    <row r="52" spans="2:19">
      <c r="B52" s="217">
        <v>10</v>
      </c>
      <c r="C52" s="217" t="s">
        <v>257</v>
      </c>
      <c r="D52" s="217" t="str">
        <f t="shared" si="4"/>
        <v>10塩浜小学校</v>
      </c>
      <c r="E52" s="218">
        <v>3</v>
      </c>
      <c r="F52" s="219" t="s">
        <v>406</v>
      </c>
      <c r="G52" s="219">
        <v>8</v>
      </c>
      <c r="H52" s="219" t="s">
        <v>376</v>
      </c>
      <c r="J52" s="217" t="s">
        <v>357</v>
      </c>
      <c r="P52" s="485" t="s">
        <v>356</v>
      </c>
      <c r="Q52" s="212">
        <f t="shared" si="3"/>
        <v>12</v>
      </c>
      <c r="R52" s="212">
        <v>12</v>
      </c>
      <c r="S52" s="486">
        <f t="shared" si="2"/>
        <v>0</v>
      </c>
    </row>
    <row r="53" spans="2:19">
      <c r="B53" s="217">
        <v>11</v>
      </c>
      <c r="C53" s="217" t="s">
        <v>257</v>
      </c>
      <c r="D53" s="217" t="str">
        <f t="shared" si="4"/>
        <v>11塩浜小学校</v>
      </c>
      <c r="E53" s="218">
        <v>1</v>
      </c>
      <c r="F53" s="219" t="s">
        <v>400</v>
      </c>
      <c r="G53" s="219">
        <v>4</v>
      </c>
      <c r="H53" s="219" t="s">
        <v>372</v>
      </c>
      <c r="J53" s="217" t="s">
        <v>358</v>
      </c>
      <c r="P53" s="485" t="s">
        <v>357</v>
      </c>
      <c r="Q53" s="212">
        <f t="shared" si="3"/>
        <v>7</v>
      </c>
      <c r="R53" s="212">
        <v>7</v>
      </c>
      <c r="S53" s="486">
        <f t="shared" si="2"/>
        <v>0</v>
      </c>
    </row>
    <row r="54" spans="2:19">
      <c r="B54" s="217">
        <v>1</v>
      </c>
      <c r="C54" s="217" t="s">
        <v>258</v>
      </c>
      <c r="D54" s="217" t="str">
        <f t="shared" si="4"/>
        <v>1富洲原小学校</v>
      </c>
      <c r="E54" s="218">
        <v>1</v>
      </c>
      <c r="F54" s="219" t="s">
        <v>394</v>
      </c>
      <c r="G54" s="219">
        <v>3</v>
      </c>
      <c r="H54" s="219" t="s">
        <v>371</v>
      </c>
      <c r="J54" s="217" t="s">
        <v>359</v>
      </c>
      <c r="P54" s="485" t="s">
        <v>358</v>
      </c>
      <c r="Q54" s="212">
        <f t="shared" si="3"/>
        <v>12</v>
      </c>
      <c r="R54" s="212">
        <v>12</v>
      </c>
      <c r="S54" s="486">
        <f t="shared" si="2"/>
        <v>0</v>
      </c>
    </row>
    <row r="55" spans="2:19">
      <c r="B55" s="217">
        <v>2</v>
      </c>
      <c r="C55" s="217" t="s">
        <v>258</v>
      </c>
      <c r="D55" s="217" t="str">
        <f t="shared" si="4"/>
        <v>2富洲原小学校</v>
      </c>
      <c r="E55" s="218">
        <v>1</v>
      </c>
      <c r="F55" s="219" t="s">
        <v>395</v>
      </c>
      <c r="G55" s="219">
        <v>2</v>
      </c>
      <c r="H55" s="219" t="s">
        <v>369</v>
      </c>
      <c r="J55" s="217" t="s">
        <v>360</v>
      </c>
      <c r="P55" s="485" t="s">
        <v>359</v>
      </c>
      <c r="Q55" s="212">
        <f t="shared" si="3"/>
        <v>12</v>
      </c>
      <c r="R55" s="212">
        <v>12</v>
      </c>
      <c r="S55" s="486">
        <f t="shared" si="2"/>
        <v>0</v>
      </c>
    </row>
    <row r="56" spans="2:19">
      <c r="B56" s="217">
        <v>3</v>
      </c>
      <c r="C56" s="217" t="s">
        <v>258</v>
      </c>
      <c r="D56" s="217" t="str">
        <f t="shared" si="4"/>
        <v>3富洲原小学校</v>
      </c>
      <c r="E56" s="218">
        <v>1</v>
      </c>
      <c r="F56" s="219" t="s">
        <v>399</v>
      </c>
      <c r="G56" s="219">
        <v>5</v>
      </c>
      <c r="H56" s="219" t="s">
        <v>374</v>
      </c>
      <c r="J56" s="217" t="s">
        <v>361</v>
      </c>
      <c r="P56" s="485" t="s">
        <v>360</v>
      </c>
      <c r="Q56" s="212">
        <f t="shared" si="3"/>
        <v>11</v>
      </c>
      <c r="R56" s="212">
        <v>11</v>
      </c>
      <c r="S56" s="486">
        <f t="shared" si="2"/>
        <v>0</v>
      </c>
    </row>
    <row r="57" spans="2:19">
      <c r="B57" s="217">
        <v>4</v>
      </c>
      <c r="C57" s="217" t="s">
        <v>258</v>
      </c>
      <c r="D57" s="217" t="str">
        <f t="shared" si="4"/>
        <v>4富洲原小学校</v>
      </c>
      <c r="E57" s="218">
        <v>1</v>
      </c>
      <c r="F57" s="219" t="s">
        <v>400</v>
      </c>
      <c r="G57" s="219">
        <v>4</v>
      </c>
      <c r="H57" s="219" t="s">
        <v>372</v>
      </c>
      <c r="P57" s="485" t="s">
        <v>361</v>
      </c>
      <c r="Q57" s="212">
        <f t="shared" si="3"/>
        <v>10</v>
      </c>
      <c r="R57" s="212">
        <v>10</v>
      </c>
      <c r="S57" s="486">
        <f t="shared" si="2"/>
        <v>0</v>
      </c>
    </row>
    <row r="58" spans="2:19">
      <c r="B58" s="217">
        <v>5</v>
      </c>
      <c r="C58" s="217" t="s">
        <v>258</v>
      </c>
      <c r="D58" s="217" t="str">
        <f t="shared" si="4"/>
        <v>5富洲原小学校</v>
      </c>
      <c r="E58" s="218">
        <v>2</v>
      </c>
      <c r="F58" s="219" t="s">
        <v>422</v>
      </c>
      <c r="G58" s="219">
        <v>8</v>
      </c>
      <c r="H58" s="219" t="s">
        <v>376</v>
      </c>
    </row>
    <row r="59" spans="2:19">
      <c r="B59" s="217">
        <v>6</v>
      </c>
      <c r="C59" s="217" t="s">
        <v>258</v>
      </c>
      <c r="D59" s="217" t="str">
        <f t="shared" si="4"/>
        <v>6富洲原小学校</v>
      </c>
      <c r="E59" s="218">
        <v>1</v>
      </c>
      <c r="F59" s="219" t="s">
        <v>423</v>
      </c>
      <c r="G59" s="219">
        <v>8</v>
      </c>
      <c r="H59" s="219" t="s">
        <v>588</v>
      </c>
    </row>
    <row r="60" spans="2:19">
      <c r="B60" s="217">
        <v>7</v>
      </c>
      <c r="C60" s="217" t="s">
        <v>258</v>
      </c>
      <c r="D60" s="217" t="str">
        <f t="shared" si="4"/>
        <v>7富洲原小学校</v>
      </c>
      <c r="E60" s="218">
        <v>1</v>
      </c>
      <c r="F60" s="219" t="s">
        <v>424</v>
      </c>
      <c r="G60" s="219">
        <v>8</v>
      </c>
      <c r="H60" s="219" t="s">
        <v>588</v>
      </c>
    </row>
    <row r="61" spans="2:19">
      <c r="B61" s="217">
        <v>8</v>
      </c>
      <c r="C61" s="217" t="s">
        <v>258</v>
      </c>
      <c r="D61" s="217" t="str">
        <f t="shared" si="4"/>
        <v>8富洲原小学校</v>
      </c>
      <c r="E61" s="218">
        <v>2</v>
      </c>
      <c r="F61" s="219" t="s">
        <v>425</v>
      </c>
      <c r="G61" s="219">
        <v>8</v>
      </c>
      <c r="H61" s="219" t="s">
        <v>376</v>
      </c>
    </row>
    <row r="62" spans="2:19">
      <c r="B62" s="217">
        <v>1</v>
      </c>
      <c r="C62" s="217" t="s">
        <v>259</v>
      </c>
      <c r="D62" s="217" t="str">
        <f t="shared" si="4"/>
        <v>1羽津小学校</v>
      </c>
      <c r="E62" s="218">
        <v>1</v>
      </c>
      <c r="F62" s="219" t="s">
        <v>394</v>
      </c>
      <c r="G62" s="219">
        <v>3</v>
      </c>
      <c r="H62" s="219" t="s">
        <v>371</v>
      </c>
    </row>
    <row r="63" spans="2:19">
      <c r="B63" s="217">
        <v>2</v>
      </c>
      <c r="C63" s="217" t="s">
        <v>259</v>
      </c>
      <c r="D63" s="217" t="str">
        <f t="shared" si="4"/>
        <v>2羽津小学校</v>
      </c>
      <c r="E63" s="218">
        <v>1</v>
      </c>
      <c r="F63" s="219" t="s">
        <v>395</v>
      </c>
      <c r="G63" s="219">
        <v>2</v>
      </c>
      <c r="H63" s="219" t="s">
        <v>369</v>
      </c>
    </row>
    <row r="64" spans="2:19">
      <c r="B64" s="217">
        <v>3</v>
      </c>
      <c r="C64" s="217" t="s">
        <v>259</v>
      </c>
      <c r="D64" s="217" t="str">
        <f t="shared" si="4"/>
        <v>3羽津小学校</v>
      </c>
      <c r="E64" s="218">
        <v>1</v>
      </c>
      <c r="F64" s="219" t="s">
        <v>400</v>
      </c>
      <c r="G64" s="219">
        <v>4</v>
      </c>
      <c r="H64" s="219" t="s">
        <v>372</v>
      </c>
    </row>
    <row r="65" spans="2:8">
      <c r="B65" s="217">
        <v>4</v>
      </c>
      <c r="C65" s="217" t="s">
        <v>259</v>
      </c>
      <c r="D65" s="217" t="str">
        <f t="shared" si="4"/>
        <v>4羽津小学校</v>
      </c>
      <c r="E65" s="218">
        <v>1</v>
      </c>
      <c r="F65" s="219" t="s">
        <v>429</v>
      </c>
      <c r="G65" s="219">
        <v>6</v>
      </c>
      <c r="H65" s="219" t="s">
        <v>373</v>
      </c>
    </row>
    <row r="66" spans="2:8">
      <c r="B66" s="217">
        <v>5</v>
      </c>
      <c r="C66" s="217" t="s">
        <v>259</v>
      </c>
      <c r="D66" s="217" t="str">
        <f t="shared" si="4"/>
        <v>5羽津小学校</v>
      </c>
      <c r="E66" s="218">
        <v>1</v>
      </c>
      <c r="F66" s="219" t="s">
        <v>406</v>
      </c>
      <c r="G66" s="219">
        <v>8</v>
      </c>
      <c r="H66" s="219" t="s">
        <v>376</v>
      </c>
    </row>
    <row r="67" spans="2:8">
      <c r="B67" s="217">
        <v>6</v>
      </c>
      <c r="C67" s="217" t="s">
        <v>259</v>
      </c>
      <c r="D67" s="217" t="str">
        <f t="shared" si="4"/>
        <v>6羽津小学校</v>
      </c>
      <c r="E67" s="218">
        <v>1</v>
      </c>
      <c r="F67" s="219" t="s">
        <v>430</v>
      </c>
      <c r="G67" s="219">
        <v>8</v>
      </c>
      <c r="H67" s="219" t="s">
        <v>376</v>
      </c>
    </row>
    <row r="68" spans="2:8">
      <c r="B68" s="217">
        <v>7</v>
      </c>
      <c r="C68" s="217" t="s">
        <v>259</v>
      </c>
      <c r="D68" s="217" t="str">
        <f t="shared" si="4"/>
        <v>7羽津小学校</v>
      </c>
      <c r="E68" s="218">
        <v>1</v>
      </c>
      <c r="F68" s="219" t="s">
        <v>431</v>
      </c>
      <c r="G68" s="219">
        <v>8</v>
      </c>
      <c r="H68" s="219" t="s">
        <v>376</v>
      </c>
    </row>
    <row r="69" spans="2:8">
      <c r="B69" s="217">
        <v>8</v>
      </c>
      <c r="C69" s="217" t="s">
        <v>259</v>
      </c>
      <c r="D69" s="217" t="str">
        <f t="shared" si="4"/>
        <v>8羽津小学校</v>
      </c>
      <c r="E69" s="218">
        <v>3</v>
      </c>
      <c r="F69" s="219" t="s">
        <v>432</v>
      </c>
      <c r="G69" s="219">
        <v>8</v>
      </c>
      <c r="H69" s="219" t="s">
        <v>588</v>
      </c>
    </row>
    <row r="70" spans="2:8">
      <c r="B70" s="217">
        <v>9</v>
      </c>
      <c r="C70" s="217" t="s">
        <v>259</v>
      </c>
      <c r="D70" s="217" t="str">
        <f t="shared" si="4"/>
        <v>9羽津小学校</v>
      </c>
      <c r="E70" s="218">
        <v>1</v>
      </c>
      <c r="F70" s="219" t="s">
        <v>433</v>
      </c>
      <c r="G70" s="219">
        <v>7</v>
      </c>
      <c r="H70" s="219" t="s">
        <v>375</v>
      </c>
    </row>
    <row r="71" spans="2:8">
      <c r="B71" s="217">
        <v>10</v>
      </c>
      <c r="C71" s="217" t="s">
        <v>259</v>
      </c>
      <c r="D71" s="217" t="str">
        <f t="shared" si="4"/>
        <v>10羽津小学校</v>
      </c>
      <c r="E71" s="218">
        <v>2</v>
      </c>
      <c r="F71" s="219" t="s">
        <v>434</v>
      </c>
      <c r="G71" s="219">
        <v>8</v>
      </c>
      <c r="H71" s="219" t="s">
        <v>376</v>
      </c>
    </row>
    <row r="72" spans="2:8">
      <c r="B72" s="217">
        <v>11</v>
      </c>
      <c r="C72" s="217" t="s">
        <v>259</v>
      </c>
      <c r="D72" s="217" t="str">
        <f t="shared" si="4"/>
        <v>11羽津小学校</v>
      </c>
      <c r="E72" s="218">
        <v>3</v>
      </c>
      <c r="F72" s="219" t="s">
        <v>435</v>
      </c>
      <c r="G72" s="219">
        <v>8</v>
      </c>
      <c r="H72" s="219" t="s">
        <v>376</v>
      </c>
    </row>
    <row r="73" spans="2:8">
      <c r="B73" s="217">
        <v>1</v>
      </c>
      <c r="C73" s="217" t="s">
        <v>260</v>
      </c>
      <c r="D73" s="217" t="str">
        <f t="shared" si="4"/>
        <v>1常磐小学校</v>
      </c>
      <c r="E73" s="218">
        <v>1</v>
      </c>
      <c r="F73" s="219" t="s">
        <v>436</v>
      </c>
      <c r="G73" s="219">
        <v>3</v>
      </c>
      <c r="H73" s="219" t="s">
        <v>371</v>
      </c>
    </row>
    <row r="74" spans="2:8">
      <c r="B74" s="217">
        <v>2</v>
      </c>
      <c r="C74" s="217" t="s">
        <v>260</v>
      </c>
      <c r="D74" s="217" t="str">
        <f t="shared" si="4"/>
        <v>2常磐小学校</v>
      </c>
      <c r="E74" s="218">
        <v>1</v>
      </c>
      <c r="F74" s="219" t="s">
        <v>395</v>
      </c>
      <c r="G74" s="219">
        <v>2</v>
      </c>
      <c r="H74" s="219" t="s">
        <v>369</v>
      </c>
    </row>
    <row r="75" spans="2:8">
      <c r="B75" s="217">
        <v>3</v>
      </c>
      <c r="C75" s="217" t="s">
        <v>260</v>
      </c>
      <c r="D75" s="217" t="str">
        <f t="shared" si="4"/>
        <v>3常磐小学校</v>
      </c>
      <c r="E75" s="218">
        <v>1</v>
      </c>
      <c r="F75" s="219" t="s">
        <v>437</v>
      </c>
      <c r="G75" s="219">
        <v>7</v>
      </c>
      <c r="H75" s="219" t="s">
        <v>375</v>
      </c>
    </row>
    <row r="76" spans="2:8">
      <c r="B76" s="217">
        <v>4</v>
      </c>
      <c r="C76" s="217" t="s">
        <v>260</v>
      </c>
      <c r="D76" s="217" t="str">
        <f t="shared" si="4"/>
        <v>4常磐小学校</v>
      </c>
      <c r="E76" s="218">
        <v>1</v>
      </c>
      <c r="F76" s="219" t="s">
        <v>438</v>
      </c>
      <c r="G76" s="219">
        <v>5</v>
      </c>
      <c r="H76" s="219" t="s">
        <v>374</v>
      </c>
    </row>
    <row r="77" spans="2:8">
      <c r="B77" s="217">
        <v>5</v>
      </c>
      <c r="C77" s="217" t="s">
        <v>260</v>
      </c>
      <c r="D77" s="217" t="str">
        <f t="shared" si="4"/>
        <v>5常磐小学校</v>
      </c>
      <c r="E77" s="218">
        <v>1</v>
      </c>
      <c r="F77" s="219" t="s">
        <v>429</v>
      </c>
      <c r="G77" s="219">
        <v>6</v>
      </c>
      <c r="H77" s="219" t="s">
        <v>373</v>
      </c>
    </row>
    <row r="78" spans="2:8">
      <c r="B78" s="217">
        <v>6</v>
      </c>
      <c r="C78" s="217" t="s">
        <v>260</v>
      </c>
      <c r="D78" s="217" t="str">
        <f t="shared" si="4"/>
        <v>6常磐小学校</v>
      </c>
      <c r="E78" s="218">
        <v>1</v>
      </c>
      <c r="F78" s="219" t="s">
        <v>400</v>
      </c>
      <c r="G78" s="219">
        <v>4</v>
      </c>
      <c r="H78" s="219" t="s">
        <v>372</v>
      </c>
    </row>
    <row r="79" spans="2:8">
      <c r="B79" s="217">
        <v>7</v>
      </c>
      <c r="C79" s="217" t="s">
        <v>260</v>
      </c>
      <c r="D79" s="217" t="str">
        <f t="shared" si="4"/>
        <v>7常磐小学校</v>
      </c>
      <c r="E79" s="218">
        <v>1</v>
      </c>
      <c r="F79" s="219" t="s">
        <v>429</v>
      </c>
      <c r="G79" s="219">
        <v>6</v>
      </c>
      <c r="H79" s="219" t="s">
        <v>373</v>
      </c>
    </row>
    <row r="80" spans="2:8">
      <c r="B80" s="217">
        <v>8</v>
      </c>
      <c r="C80" s="217" t="s">
        <v>260</v>
      </c>
      <c r="D80" s="217" t="str">
        <f t="shared" si="4"/>
        <v>8常磐小学校</v>
      </c>
      <c r="E80" s="218">
        <v>1</v>
      </c>
      <c r="F80" s="219" t="s">
        <v>442</v>
      </c>
      <c r="G80" s="219">
        <v>8</v>
      </c>
      <c r="H80" s="219" t="s">
        <v>376</v>
      </c>
    </row>
    <row r="81" spans="2:8">
      <c r="B81" s="217">
        <v>9</v>
      </c>
      <c r="C81" s="217" t="s">
        <v>260</v>
      </c>
      <c r="D81" s="217" t="str">
        <f t="shared" si="4"/>
        <v>9常磐小学校</v>
      </c>
      <c r="E81" s="218">
        <v>2</v>
      </c>
      <c r="F81" s="219" t="s">
        <v>439</v>
      </c>
      <c r="G81" s="219">
        <v>8</v>
      </c>
      <c r="H81" s="219" t="s">
        <v>376</v>
      </c>
    </row>
    <row r="82" spans="2:8">
      <c r="B82" s="217">
        <v>10</v>
      </c>
      <c r="C82" s="217" t="s">
        <v>260</v>
      </c>
      <c r="D82" s="217" t="str">
        <f t="shared" si="4"/>
        <v>10常磐小学校</v>
      </c>
      <c r="E82" s="218">
        <v>3</v>
      </c>
      <c r="F82" s="219" t="s">
        <v>440</v>
      </c>
      <c r="G82" s="219">
        <v>8</v>
      </c>
      <c r="H82" s="219" t="s">
        <v>376</v>
      </c>
    </row>
    <row r="83" spans="2:8">
      <c r="B83" s="217">
        <v>11</v>
      </c>
      <c r="C83" s="217" t="s">
        <v>260</v>
      </c>
      <c r="D83" s="217" t="str">
        <f t="shared" si="4"/>
        <v>11常磐小学校</v>
      </c>
      <c r="E83" s="218">
        <v>3</v>
      </c>
      <c r="F83" s="219" t="s">
        <v>441</v>
      </c>
      <c r="G83" s="219">
        <v>8</v>
      </c>
      <c r="H83" s="219" t="s">
        <v>376</v>
      </c>
    </row>
    <row r="84" spans="2:8">
      <c r="B84" s="217">
        <v>1</v>
      </c>
      <c r="C84" s="217" t="s">
        <v>261</v>
      </c>
      <c r="D84" s="217" t="str">
        <f t="shared" si="4"/>
        <v>1日永小学校</v>
      </c>
      <c r="E84" s="218">
        <v>1</v>
      </c>
      <c r="F84" s="219" t="s">
        <v>394</v>
      </c>
      <c r="G84" s="219">
        <v>3</v>
      </c>
      <c r="H84" s="219" t="s">
        <v>371</v>
      </c>
    </row>
    <row r="85" spans="2:8">
      <c r="B85" s="217">
        <v>2</v>
      </c>
      <c r="C85" s="217" t="s">
        <v>261</v>
      </c>
      <c r="D85" s="217" t="str">
        <f t="shared" si="4"/>
        <v>2日永小学校</v>
      </c>
      <c r="E85" s="218">
        <v>1</v>
      </c>
      <c r="F85" s="219" t="s">
        <v>395</v>
      </c>
      <c r="G85" s="219">
        <v>2</v>
      </c>
      <c r="H85" s="219" t="s">
        <v>369</v>
      </c>
    </row>
    <row r="86" spans="2:8">
      <c r="B86" s="217">
        <v>3</v>
      </c>
      <c r="C86" s="217" t="s">
        <v>261</v>
      </c>
      <c r="D86" s="217" t="str">
        <f t="shared" si="4"/>
        <v>3日永小学校</v>
      </c>
      <c r="E86" s="218">
        <v>1</v>
      </c>
      <c r="F86" s="219" t="s">
        <v>443</v>
      </c>
      <c r="G86" s="219">
        <v>5</v>
      </c>
      <c r="H86" s="219" t="s">
        <v>374</v>
      </c>
    </row>
    <row r="87" spans="2:8">
      <c r="B87" s="217">
        <v>4</v>
      </c>
      <c r="C87" s="217" t="s">
        <v>261</v>
      </c>
      <c r="D87" s="217" t="str">
        <f t="shared" si="4"/>
        <v>4日永小学校</v>
      </c>
      <c r="E87" s="218">
        <v>2</v>
      </c>
      <c r="F87" s="219" t="s">
        <v>444</v>
      </c>
      <c r="G87" s="219">
        <v>8</v>
      </c>
      <c r="H87" s="219" t="s">
        <v>376</v>
      </c>
    </row>
    <row r="88" spans="2:8">
      <c r="B88" s="217">
        <v>5</v>
      </c>
      <c r="C88" s="217" t="s">
        <v>261</v>
      </c>
      <c r="D88" s="217" t="str">
        <f t="shared" si="4"/>
        <v>5日永小学校</v>
      </c>
      <c r="E88" s="218">
        <v>2</v>
      </c>
      <c r="F88" s="219" t="s">
        <v>406</v>
      </c>
      <c r="G88" s="219">
        <v>8</v>
      </c>
      <c r="H88" s="219" t="s">
        <v>376</v>
      </c>
    </row>
    <row r="89" spans="2:8">
      <c r="B89" s="217">
        <v>6</v>
      </c>
      <c r="C89" s="217" t="s">
        <v>261</v>
      </c>
      <c r="D89" s="217" t="str">
        <f t="shared" si="4"/>
        <v>6日永小学校</v>
      </c>
      <c r="E89" s="218">
        <v>1</v>
      </c>
      <c r="F89" s="219" t="s">
        <v>400</v>
      </c>
      <c r="G89" s="219">
        <v>4</v>
      </c>
      <c r="H89" s="219" t="s">
        <v>372</v>
      </c>
    </row>
    <row r="90" spans="2:8">
      <c r="B90" s="217">
        <v>7</v>
      </c>
      <c r="C90" s="217" t="s">
        <v>261</v>
      </c>
      <c r="D90" s="217" t="str">
        <f t="shared" si="4"/>
        <v>7日永小学校</v>
      </c>
      <c r="E90" s="218">
        <v>1</v>
      </c>
      <c r="F90" s="219" t="s">
        <v>445</v>
      </c>
      <c r="G90" s="219">
        <v>7</v>
      </c>
      <c r="H90" s="219" t="s">
        <v>375</v>
      </c>
    </row>
    <row r="91" spans="2:8">
      <c r="B91" s="217">
        <v>8</v>
      </c>
      <c r="C91" s="217" t="s">
        <v>261</v>
      </c>
      <c r="D91" s="217" t="str">
        <f t="shared" ref="D91:D127" si="5">B91&amp;C91</f>
        <v>8日永小学校</v>
      </c>
      <c r="E91" s="218">
        <v>1</v>
      </c>
      <c r="F91" s="219" t="s">
        <v>446</v>
      </c>
      <c r="G91" s="219">
        <v>7</v>
      </c>
      <c r="H91" s="219" t="s">
        <v>375</v>
      </c>
    </row>
    <row r="92" spans="2:8">
      <c r="B92" s="217">
        <v>9</v>
      </c>
      <c r="C92" s="217" t="s">
        <v>261</v>
      </c>
      <c r="D92" s="217" t="str">
        <f t="shared" si="5"/>
        <v>9日永小学校</v>
      </c>
      <c r="E92" s="218">
        <v>2</v>
      </c>
      <c r="F92" s="219" t="s">
        <v>424</v>
      </c>
      <c r="G92" s="219">
        <v>8</v>
      </c>
      <c r="H92" s="219" t="s">
        <v>376</v>
      </c>
    </row>
    <row r="93" spans="2:8">
      <c r="B93" s="217">
        <v>1</v>
      </c>
      <c r="C93" s="217" t="s">
        <v>262</v>
      </c>
      <c r="D93" s="217" t="str">
        <f t="shared" si="5"/>
        <v>1四郷小学校</v>
      </c>
      <c r="E93" s="218">
        <v>1</v>
      </c>
      <c r="F93" s="219" t="s">
        <v>394</v>
      </c>
      <c r="G93" s="219">
        <v>3</v>
      </c>
      <c r="H93" s="219" t="s">
        <v>371</v>
      </c>
    </row>
    <row r="94" spans="2:8">
      <c r="B94" s="217">
        <v>2</v>
      </c>
      <c r="C94" s="217" t="s">
        <v>262</v>
      </c>
      <c r="D94" s="217" t="str">
        <f t="shared" si="5"/>
        <v>2四郷小学校</v>
      </c>
      <c r="E94" s="218">
        <v>1</v>
      </c>
      <c r="F94" s="219" t="s">
        <v>395</v>
      </c>
      <c r="G94" s="219">
        <v>2</v>
      </c>
      <c r="H94" s="219" t="s">
        <v>369</v>
      </c>
    </row>
    <row r="95" spans="2:8">
      <c r="B95" s="217">
        <v>3</v>
      </c>
      <c r="C95" s="217" t="s">
        <v>262</v>
      </c>
      <c r="D95" s="217" t="str">
        <f t="shared" si="5"/>
        <v>3四郷小学校</v>
      </c>
      <c r="E95" s="218">
        <v>1</v>
      </c>
      <c r="F95" s="219" t="s">
        <v>400</v>
      </c>
      <c r="G95" s="219">
        <v>4</v>
      </c>
      <c r="H95" s="219" t="s">
        <v>372</v>
      </c>
    </row>
    <row r="96" spans="2:8">
      <c r="B96" s="217">
        <v>4</v>
      </c>
      <c r="C96" s="217" t="s">
        <v>262</v>
      </c>
      <c r="D96" s="217" t="str">
        <f t="shared" si="5"/>
        <v>4四郷小学校</v>
      </c>
      <c r="E96" s="218">
        <v>1</v>
      </c>
      <c r="F96" s="219" t="s">
        <v>399</v>
      </c>
      <c r="G96" s="219">
        <v>5</v>
      </c>
      <c r="H96" s="219" t="s">
        <v>374</v>
      </c>
    </row>
    <row r="97" spans="2:8">
      <c r="B97" s="217">
        <v>5</v>
      </c>
      <c r="C97" s="217" t="s">
        <v>262</v>
      </c>
      <c r="D97" s="217" t="str">
        <f t="shared" si="5"/>
        <v>5四郷小学校</v>
      </c>
      <c r="E97" s="218">
        <v>3</v>
      </c>
      <c r="F97" s="219" t="s">
        <v>447</v>
      </c>
      <c r="G97" s="219">
        <v>8</v>
      </c>
      <c r="H97" s="219" t="s">
        <v>376</v>
      </c>
    </row>
    <row r="98" spans="2:8">
      <c r="B98" s="217">
        <v>6</v>
      </c>
      <c r="C98" s="217" t="s">
        <v>262</v>
      </c>
      <c r="D98" s="217" t="str">
        <f t="shared" si="5"/>
        <v>6四郷小学校</v>
      </c>
      <c r="E98" s="218">
        <v>3</v>
      </c>
      <c r="F98" s="219" t="s">
        <v>448</v>
      </c>
      <c r="G98" s="219">
        <v>1</v>
      </c>
      <c r="H98" s="219" t="s">
        <v>421</v>
      </c>
    </row>
    <row r="99" spans="2:8">
      <c r="B99" s="217">
        <v>7</v>
      </c>
      <c r="C99" s="217" t="s">
        <v>262</v>
      </c>
      <c r="D99" s="217" t="str">
        <f t="shared" si="5"/>
        <v>7四郷小学校</v>
      </c>
      <c r="E99" s="218">
        <v>3</v>
      </c>
      <c r="F99" s="219" t="s">
        <v>448</v>
      </c>
      <c r="G99" s="219">
        <v>1</v>
      </c>
      <c r="H99" s="219" t="s">
        <v>421</v>
      </c>
    </row>
    <row r="100" spans="2:8">
      <c r="B100" s="217">
        <v>1</v>
      </c>
      <c r="C100" s="217" t="s">
        <v>263</v>
      </c>
      <c r="D100" s="217" t="str">
        <f t="shared" si="5"/>
        <v>1内部小学校</v>
      </c>
      <c r="E100" s="218">
        <v>1</v>
      </c>
      <c r="F100" s="219" t="s">
        <v>394</v>
      </c>
      <c r="G100" s="219">
        <v>3</v>
      </c>
      <c r="H100" s="219" t="s">
        <v>371</v>
      </c>
    </row>
    <row r="101" spans="2:8">
      <c r="B101" s="217">
        <v>2</v>
      </c>
      <c r="C101" s="217" t="s">
        <v>263</v>
      </c>
      <c r="D101" s="217" t="str">
        <f t="shared" si="5"/>
        <v>2内部小学校</v>
      </c>
      <c r="E101" s="218">
        <v>1</v>
      </c>
      <c r="F101" s="219" t="s">
        <v>395</v>
      </c>
      <c r="G101" s="219">
        <v>2</v>
      </c>
      <c r="H101" s="219" t="s">
        <v>369</v>
      </c>
    </row>
    <row r="102" spans="2:8">
      <c r="B102" s="217">
        <v>3</v>
      </c>
      <c r="C102" s="217" t="s">
        <v>263</v>
      </c>
      <c r="D102" s="217" t="str">
        <f t="shared" si="5"/>
        <v>3内部小学校</v>
      </c>
      <c r="E102" s="218">
        <v>1</v>
      </c>
      <c r="F102" s="219" t="s">
        <v>429</v>
      </c>
      <c r="G102" s="219">
        <v>6</v>
      </c>
      <c r="H102" s="219" t="s">
        <v>373</v>
      </c>
    </row>
    <row r="103" spans="2:8">
      <c r="B103" s="217">
        <v>4</v>
      </c>
      <c r="C103" s="217" t="s">
        <v>263</v>
      </c>
      <c r="D103" s="217" t="str">
        <f t="shared" si="5"/>
        <v>4内部小学校</v>
      </c>
      <c r="E103" s="218">
        <v>1</v>
      </c>
      <c r="F103" s="219" t="s">
        <v>451</v>
      </c>
      <c r="G103" s="219">
        <v>8</v>
      </c>
      <c r="H103" s="219" t="s">
        <v>376</v>
      </c>
    </row>
    <row r="104" spans="2:8">
      <c r="B104" s="217">
        <v>5</v>
      </c>
      <c r="C104" s="217" t="s">
        <v>263</v>
      </c>
      <c r="D104" s="217" t="str">
        <f t="shared" si="5"/>
        <v>5内部小学校</v>
      </c>
      <c r="E104" s="218">
        <v>1</v>
      </c>
      <c r="F104" s="219" t="s">
        <v>400</v>
      </c>
      <c r="G104" s="219">
        <v>4</v>
      </c>
      <c r="H104" s="219" t="s">
        <v>372</v>
      </c>
    </row>
    <row r="105" spans="2:8">
      <c r="B105" s="217">
        <v>6</v>
      </c>
      <c r="C105" s="217" t="s">
        <v>263</v>
      </c>
      <c r="D105" s="217" t="str">
        <f t="shared" si="5"/>
        <v>6内部小学校</v>
      </c>
      <c r="E105" s="218">
        <v>3</v>
      </c>
      <c r="F105" s="219" t="s">
        <v>406</v>
      </c>
      <c r="G105" s="219">
        <v>8</v>
      </c>
      <c r="H105" s="219" t="s">
        <v>376</v>
      </c>
    </row>
    <row r="106" spans="2:8">
      <c r="B106" s="217">
        <v>1</v>
      </c>
      <c r="C106" s="217" t="s">
        <v>264</v>
      </c>
      <c r="D106" s="217" t="str">
        <f t="shared" si="5"/>
        <v>1小山田小学校</v>
      </c>
      <c r="E106" s="218">
        <v>1</v>
      </c>
      <c r="F106" s="219" t="s">
        <v>394</v>
      </c>
      <c r="G106" s="219">
        <v>3</v>
      </c>
      <c r="H106" s="219" t="s">
        <v>371</v>
      </c>
    </row>
    <row r="107" spans="2:8">
      <c r="B107" s="217">
        <v>2</v>
      </c>
      <c r="C107" s="217" t="s">
        <v>264</v>
      </c>
      <c r="D107" s="217" t="str">
        <f t="shared" si="5"/>
        <v>2小山田小学校</v>
      </c>
      <c r="E107" s="218">
        <v>1</v>
      </c>
      <c r="F107" s="219" t="s">
        <v>395</v>
      </c>
      <c r="G107" s="219">
        <v>2</v>
      </c>
      <c r="H107" s="219" t="s">
        <v>369</v>
      </c>
    </row>
    <row r="108" spans="2:8">
      <c r="B108" s="217">
        <v>3</v>
      </c>
      <c r="C108" s="217" t="s">
        <v>264</v>
      </c>
      <c r="D108" s="217" t="str">
        <f t="shared" si="5"/>
        <v>3小山田小学校</v>
      </c>
      <c r="E108" s="218">
        <v>2</v>
      </c>
      <c r="F108" s="219" t="s">
        <v>429</v>
      </c>
      <c r="G108" s="219">
        <v>6</v>
      </c>
      <c r="H108" s="219" t="s">
        <v>373</v>
      </c>
    </row>
    <row r="109" spans="2:8">
      <c r="B109" s="217">
        <v>4</v>
      </c>
      <c r="C109" s="217" t="s">
        <v>264</v>
      </c>
      <c r="D109" s="217" t="str">
        <f t="shared" si="5"/>
        <v>4小山田小学校</v>
      </c>
      <c r="E109" s="218">
        <v>3</v>
      </c>
      <c r="F109" s="219" t="s">
        <v>406</v>
      </c>
      <c r="G109" s="219">
        <v>8</v>
      </c>
      <c r="H109" s="219" t="s">
        <v>376</v>
      </c>
    </row>
    <row r="110" spans="2:8">
      <c r="B110" s="217">
        <v>5</v>
      </c>
      <c r="C110" s="217" t="s">
        <v>264</v>
      </c>
      <c r="D110" s="217" t="str">
        <f t="shared" si="5"/>
        <v>5小山田小学校</v>
      </c>
      <c r="E110" s="218">
        <v>1</v>
      </c>
      <c r="F110" s="219" t="s">
        <v>400</v>
      </c>
      <c r="G110" s="219">
        <v>4</v>
      </c>
      <c r="H110" s="219" t="s">
        <v>372</v>
      </c>
    </row>
    <row r="111" spans="2:8">
      <c r="B111" s="217">
        <v>6</v>
      </c>
      <c r="C111" s="217" t="s">
        <v>264</v>
      </c>
      <c r="D111" s="217" t="str">
        <f t="shared" si="5"/>
        <v>6小山田小学校</v>
      </c>
      <c r="E111" s="218">
        <v>2</v>
      </c>
      <c r="F111" s="219" t="s">
        <v>399</v>
      </c>
      <c r="G111" s="219">
        <v>5</v>
      </c>
      <c r="H111" s="219" t="s">
        <v>374</v>
      </c>
    </row>
    <row r="112" spans="2:8">
      <c r="B112" s="217">
        <v>7</v>
      </c>
      <c r="C112" s="217" t="s">
        <v>264</v>
      </c>
      <c r="D112" s="217" t="str">
        <f t="shared" si="5"/>
        <v>7小山田小学校</v>
      </c>
      <c r="E112" s="218">
        <v>2</v>
      </c>
      <c r="F112" s="219" t="s">
        <v>452</v>
      </c>
      <c r="G112" s="219">
        <v>8</v>
      </c>
      <c r="H112" s="219" t="s">
        <v>376</v>
      </c>
    </row>
    <row r="113" spans="2:8">
      <c r="B113" s="217">
        <v>1</v>
      </c>
      <c r="C113" s="217" t="s">
        <v>265</v>
      </c>
      <c r="D113" s="217" t="str">
        <f t="shared" si="5"/>
        <v>1河原田小学校</v>
      </c>
      <c r="E113" s="218">
        <v>1</v>
      </c>
      <c r="F113" s="219" t="s">
        <v>394</v>
      </c>
      <c r="G113" s="219">
        <v>3</v>
      </c>
      <c r="H113" s="219" t="s">
        <v>371</v>
      </c>
    </row>
    <row r="114" spans="2:8">
      <c r="B114" s="217">
        <v>2</v>
      </c>
      <c r="C114" s="217" t="s">
        <v>265</v>
      </c>
      <c r="D114" s="217" t="str">
        <f t="shared" si="5"/>
        <v>2河原田小学校</v>
      </c>
      <c r="E114" s="218">
        <v>1</v>
      </c>
      <c r="F114" s="219" t="s">
        <v>395</v>
      </c>
      <c r="G114" s="219">
        <v>2</v>
      </c>
      <c r="H114" s="219" t="s">
        <v>369</v>
      </c>
    </row>
    <row r="115" spans="2:8">
      <c r="B115" s="217">
        <v>3</v>
      </c>
      <c r="C115" s="217" t="s">
        <v>265</v>
      </c>
      <c r="D115" s="217" t="str">
        <f t="shared" si="5"/>
        <v>3河原田小学校</v>
      </c>
      <c r="E115" s="218">
        <v>1</v>
      </c>
      <c r="F115" s="219" t="s">
        <v>437</v>
      </c>
      <c r="G115" s="219">
        <v>7</v>
      </c>
      <c r="H115" s="219" t="s">
        <v>375</v>
      </c>
    </row>
    <row r="116" spans="2:8">
      <c r="B116" s="217">
        <v>4</v>
      </c>
      <c r="C116" s="217" t="s">
        <v>265</v>
      </c>
      <c r="D116" s="217" t="str">
        <f t="shared" si="5"/>
        <v>4河原田小学校</v>
      </c>
      <c r="E116" s="218">
        <v>1</v>
      </c>
      <c r="F116" s="219" t="s">
        <v>399</v>
      </c>
      <c r="G116" s="219">
        <v>5</v>
      </c>
      <c r="H116" s="219" t="s">
        <v>374</v>
      </c>
    </row>
    <row r="117" spans="2:8">
      <c r="B117" s="217">
        <v>5</v>
      </c>
      <c r="C117" s="217" t="s">
        <v>265</v>
      </c>
      <c r="D117" s="217" t="str">
        <f t="shared" si="5"/>
        <v>5河原田小学校</v>
      </c>
      <c r="E117" s="218">
        <v>1</v>
      </c>
      <c r="F117" s="219" t="s">
        <v>429</v>
      </c>
      <c r="G117" s="219">
        <v>6</v>
      </c>
      <c r="H117" s="219" t="s">
        <v>373</v>
      </c>
    </row>
    <row r="118" spans="2:8">
      <c r="B118" s="217">
        <v>6</v>
      </c>
      <c r="C118" s="217" t="s">
        <v>265</v>
      </c>
      <c r="D118" s="217" t="str">
        <f t="shared" si="5"/>
        <v>6河原田小学校</v>
      </c>
      <c r="E118" s="218">
        <v>1</v>
      </c>
      <c r="F118" s="219" t="s">
        <v>400</v>
      </c>
      <c r="G118" s="219">
        <v>4</v>
      </c>
      <c r="H118" s="219" t="s">
        <v>372</v>
      </c>
    </row>
    <row r="119" spans="2:8">
      <c r="B119" s="217">
        <v>7</v>
      </c>
      <c r="C119" s="217" t="s">
        <v>265</v>
      </c>
      <c r="D119" s="217" t="str">
        <f t="shared" si="5"/>
        <v>7河原田小学校</v>
      </c>
      <c r="E119" s="218">
        <v>1</v>
      </c>
      <c r="F119" s="219" t="s">
        <v>453</v>
      </c>
      <c r="G119" s="219">
        <v>8</v>
      </c>
      <c r="H119" s="219" t="s">
        <v>376</v>
      </c>
    </row>
    <row r="120" spans="2:8">
      <c r="B120" s="217">
        <v>8</v>
      </c>
      <c r="C120" s="217" t="s">
        <v>265</v>
      </c>
      <c r="D120" s="217" t="str">
        <f t="shared" si="5"/>
        <v>8河原田小学校</v>
      </c>
      <c r="E120" s="218">
        <v>1</v>
      </c>
      <c r="F120" s="219" t="s">
        <v>454</v>
      </c>
      <c r="G120" s="219">
        <v>8</v>
      </c>
      <c r="H120" s="219" t="s">
        <v>376</v>
      </c>
    </row>
    <row r="121" spans="2:8">
      <c r="B121" s="217">
        <v>9</v>
      </c>
      <c r="C121" s="217" t="s">
        <v>265</v>
      </c>
      <c r="D121" s="217" t="str">
        <f t="shared" si="5"/>
        <v>9河原田小学校</v>
      </c>
      <c r="E121" s="218">
        <v>1</v>
      </c>
      <c r="F121" s="219" t="s">
        <v>455</v>
      </c>
      <c r="G121" s="219">
        <v>8</v>
      </c>
      <c r="H121" s="219" t="s">
        <v>376</v>
      </c>
    </row>
    <row r="122" spans="2:8">
      <c r="B122" s="217">
        <v>10</v>
      </c>
      <c r="C122" s="217" t="s">
        <v>265</v>
      </c>
      <c r="D122" s="217" t="str">
        <f t="shared" si="5"/>
        <v>10河原田小学校</v>
      </c>
      <c r="E122" s="218">
        <v>2</v>
      </c>
      <c r="F122" s="219" t="s">
        <v>456</v>
      </c>
      <c r="G122" s="219">
        <v>1</v>
      </c>
      <c r="H122" s="219" t="s">
        <v>421</v>
      </c>
    </row>
    <row r="123" spans="2:8">
      <c r="B123" s="217">
        <v>11</v>
      </c>
      <c r="C123" s="217" t="s">
        <v>265</v>
      </c>
      <c r="D123" s="217" t="str">
        <f t="shared" si="5"/>
        <v>11河原田小学校</v>
      </c>
      <c r="E123" s="218">
        <v>2</v>
      </c>
      <c r="F123" s="219" t="s">
        <v>456</v>
      </c>
      <c r="G123" s="219">
        <v>1</v>
      </c>
      <c r="H123" s="219" t="s">
        <v>421</v>
      </c>
    </row>
    <row r="124" spans="2:8">
      <c r="B124" s="217">
        <v>12</v>
      </c>
      <c r="C124" s="217" t="s">
        <v>265</v>
      </c>
      <c r="D124" s="217" t="str">
        <f t="shared" si="5"/>
        <v>12河原田小学校</v>
      </c>
      <c r="E124" s="218">
        <v>2</v>
      </c>
      <c r="F124" s="219" t="s">
        <v>457</v>
      </c>
      <c r="G124" s="219">
        <v>8</v>
      </c>
      <c r="H124" s="219" t="s">
        <v>376</v>
      </c>
    </row>
    <row r="125" spans="2:8">
      <c r="B125" s="217">
        <v>13</v>
      </c>
      <c r="C125" s="217" t="s">
        <v>265</v>
      </c>
      <c r="D125" s="217" t="str">
        <f>B125&amp;C125</f>
        <v>13河原田小学校</v>
      </c>
      <c r="E125" s="218">
        <v>2</v>
      </c>
      <c r="F125" s="219" t="s">
        <v>406</v>
      </c>
      <c r="G125" s="219">
        <v>8</v>
      </c>
      <c r="H125" s="219" t="s">
        <v>376</v>
      </c>
    </row>
    <row r="126" spans="2:8">
      <c r="B126" s="217">
        <v>1</v>
      </c>
      <c r="C126" s="217" t="s">
        <v>266</v>
      </c>
      <c r="D126" s="217" t="str">
        <f t="shared" si="5"/>
        <v>1川島小学校</v>
      </c>
      <c r="E126" s="218">
        <v>1</v>
      </c>
      <c r="F126" s="219" t="s">
        <v>394</v>
      </c>
      <c r="G126" s="219">
        <v>3</v>
      </c>
      <c r="H126" s="219" t="s">
        <v>371</v>
      </c>
    </row>
    <row r="127" spans="2:8">
      <c r="B127" s="217">
        <v>2</v>
      </c>
      <c r="C127" s="217" t="s">
        <v>266</v>
      </c>
      <c r="D127" s="217" t="str">
        <f t="shared" si="5"/>
        <v>2川島小学校</v>
      </c>
      <c r="E127" s="218">
        <v>1</v>
      </c>
      <c r="F127" s="219" t="s">
        <v>395</v>
      </c>
      <c r="G127" s="219">
        <v>2</v>
      </c>
      <c r="H127" s="219" t="s">
        <v>369</v>
      </c>
    </row>
    <row r="128" spans="2:8">
      <c r="B128" s="217">
        <v>3</v>
      </c>
      <c r="C128" s="217" t="s">
        <v>266</v>
      </c>
      <c r="D128" s="217" t="str">
        <f t="shared" ref="D128:D165" si="6">B128&amp;C128</f>
        <v>3川島小学校</v>
      </c>
      <c r="E128" s="218">
        <v>1</v>
      </c>
      <c r="F128" s="219" t="s">
        <v>400</v>
      </c>
      <c r="G128" s="219">
        <v>4</v>
      </c>
      <c r="H128" s="219" t="s">
        <v>372</v>
      </c>
    </row>
    <row r="129" spans="2:8">
      <c r="B129" s="217">
        <v>4</v>
      </c>
      <c r="C129" s="217" t="s">
        <v>266</v>
      </c>
      <c r="D129" s="217" t="str">
        <f t="shared" si="6"/>
        <v>4川島小学校</v>
      </c>
      <c r="E129" s="218">
        <v>1</v>
      </c>
      <c r="F129" s="219" t="s">
        <v>399</v>
      </c>
      <c r="G129" s="219">
        <v>5</v>
      </c>
      <c r="H129" s="219" t="s">
        <v>374</v>
      </c>
    </row>
    <row r="130" spans="2:8">
      <c r="B130" s="217">
        <v>5</v>
      </c>
      <c r="C130" s="217" t="s">
        <v>266</v>
      </c>
      <c r="D130" s="217" t="str">
        <f t="shared" si="6"/>
        <v>5川島小学校</v>
      </c>
      <c r="E130" s="218">
        <v>3</v>
      </c>
      <c r="F130" s="219" t="s">
        <v>441</v>
      </c>
      <c r="G130" s="219">
        <v>8</v>
      </c>
      <c r="H130" s="219" t="s">
        <v>376</v>
      </c>
    </row>
    <row r="131" spans="2:8">
      <c r="B131" s="217">
        <v>6</v>
      </c>
      <c r="C131" s="217" t="s">
        <v>266</v>
      </c>
      <c r="D131" s="217" t="str">
        <f t="shared" si="6"/>
        <v>6川島小学校</v>
      </c>
      <c r="E131" s="218">
        <v>1</v>
      </c>
      <c r="F131" s="219" t="s">
        <v>458</v>
      </c>
      <c r="G131" s="219">
        <v>8</v>
      </c>
      <c r="H131" s="219" t="s">
        <v>376</v>
      </c>
    </row>
    <row r="132" spans="2:8">
      <c r="B132" s="217">
        <v>7</v>
      </c>
      <c r="C132" s="217" t="s">
        <v>266</v>
      </c>
      <c r="D132" s="217" t="str">
        <f>B132&amp;C132</f>
        <v>7川島小学校</v>
      </c>
      <c r="E132" s="218">
        <v>1</v>
      </c>
      <c r="F132" s="219" t="s">
        <v>459</v>
      </c>
      <c r="G132" s="219">
        <v>6</v>
      </c>
      <c r="H132" s="219" t="s">
        <v>373</v>
      </c>
    </row>
    <row r="133" spans="2:8">
      <c r="B133" s="217">
        <v>1</v>
      </c>
      <c r="C133" s="217" t="s">
        <v>267</v>
      </c>
      <c r="D133" s="217" t="str">
        <f t="shared" si="6"/>
        <v>1神前小学校</v>
      </c>
      <c r="E133" s="218">
        <v>1</v>
      </c>
      <c r="F133" s="219" t="s">
        <v>394</v>
      </c>
      <c r="G133" s="219">
        <v>3</v>
      </c>
      <c r="H133" s="219" t="s">
        <v>371</v>
      </c>
    </row>
    <row r="134" spans="2:8">
      <c r="B134" s="217">
        <v>2</v>
      </c>
      <c r="C134" s="217" t="s">
        <v>267</v>
      </c>
      <c r="D134" s="217" t="str">
        <f t="shared" si="6"/>
        <v>2神前小学校</v>
      </c>
      <c r="E134" s="218">
        <v>1</v>
      </c>
      <c r="F134" s="219" t="s">
        <v>395</v>
      </c>
      <c r="G134" s="219">
        <v>2</v>
      </c>
      <c r="H134" s="219" t="s">
        <v>369</v>
      </c>
    </row>
    <row r="135" spans="2:8">
      <c r="B135" s="217">
        <v>3</v>
      </c>
      <c r="C135" s="217" t="s">
        <v>267</v>
      </c>
      <c r="D135" s="217" t="str">
        <f t="shared" si="6"/>
        <v>3神前小学校</v>
      </c>
      <c r="E135" s="218">
        <v>1</v>
      </c>
      <c r="F135" s="219" t="s">
        <v>400</v>
      </c>
      <c r="G135" s="219">
        <v>4</v>
      </c>
      <c r="H135" s="219" t="s">
        <v>372</v>
      </c>
    </row>
    <row r="136" spans="2:8">
      <c r="B136" s="217">
        <v>4</v>
      </c>
      <c r="C136" s="217" t="s">
        <v>267</v>
      </c>
      <c r="D136" s="217" t="str">
        <f t="shared" si="6"/>
        <v>4神前小学校</v>
      </c>
      <c r="E136" s="218">
        <v>1</v>
      </c>
      <c r="F136" s="219" t="s">
        <v>399</v>
      </c>
      <c r="G136" s="219">
        <v>5</v>
      </c>
      <c r="H136" s="219" t="s">
        <v>374</v>
      </c>
    </row>
    <row r="137" spans="2:8">
      <c r="B137" s="217">
        <v>5</v>
      </c>
      <c r="C137" s="217" t="s">
        <v>267</v>
      </c>
      <c r="D137" s="217" t="str">
        <f t="shared" si="6"/>
        <v>5神前小学校</v>
      </c>
      <c r="E137" s="218">
        <v>1</v>
      </c>
      <c r="F137" s="219" t="s">
        <v>461</v>
      </c>
      <c r="G137" s="219">
        <v>8</v>
      </c>
      <c r="H137" s="219" t="s">
        <v>376</v>
      </c>
    </row>
    <row r="138" spans="2:8">
      <c r="B138" s="217">
        <v>6</v>
      </c>
      <c r="C138" s="217" t="s">
        <v>267</v>
      </c>
      <c r="D138" s="217" t="str">
        <f t="shared" si="6"/>
        <v>6神前小学校</v>
      </c>
      <c r="E138" s="218">
        <v>1</v>
      </c>
      <c r="F138" s="219" t="s">
        <v>462</v>
      </c>
      <c r="G138" s="219">
        <v>8</v>
      </c>
      <c r="H138" s="219" t="s">
        <v>376</v>
      </c>
    </row>
    <row r="139" spans="2:8">
      <c r="B139" s="217">
        <v>7</v>
      </c>
      <c r="C139" s="217" t="s">
        <v>267</v>
      </c>
      <c r="D139" s="217" t="str">
        <f t="shared" si="6"/>
        <v>7神前小学校</v>
      </c>
      <c r="E139" s="218">
        <v>1</v>
      </c>
      <c r="F139" s="219" t="s">
        <v>429</v>
      </c>
      <c r="G139" s="219">
        <v>6</v>
      </c>
      <c r="H139" s="219" t="s">
        <v>373</v>
      </c>
    </row>
    <row r="140" spans="2:8">
      <c r="B140" s="217">
        <v>1</v>
      </c>
      <c r="C140" s="217" t="s">
        <v>268</v>
      </c>
      <c r="D140" s="217" t="str">
        <f t="shared" si="6"/>
        <v>1桜小学校</v>
      </c>
      <c r="E140" s="218">
        <v>1</v>
      </c>
      <c r="F140" s="219" t="s">
        <v>394</v>
      </c>
      <c r="G140" s="219">
        <v>3</v>
      </c>
      <c r="H140" s="219" t="str">
        <f>IF(F140="校長室",M5,IF(F140="職員室",$M$4,IF(F140="保健室",$M$6,IF(F140="相談室",$M$7,IF(F140="会議室",$M$8,"")))))</f>
        <v>③校長室</v>
      </c>
    </row>
    <row r="141" spans="2:8">
      <c r="B141" s="217">
        <v>2</v>
      </c>
      <c r="C141" s="217" t="s">
        <v>268</v>
      </c>
      <c r="D141" s="217" t="str">
        <f t="shared" si="6"/>
        <v>2桜小学校</v>
      </c>
      <c r="E141" s="218">
        <v>1</v>
      </c>
      <c r="F141" s="219" t="s">
        <v>395</v>
      </c>
      <c r="G141" s="219">
        <v>2</v>
      </c>
      <c r="H141" s="219" t="str">
        <f t="shared" ref="H141:H146" si="7">IF(F141="校長室",M6,IF(F141="職員室",$M$4,IF(F141="保健室",$M$6,IF(F141="相談室",$M$7,IF(F141="会議室",$M$8,"")))))</f>
        <v>②職員室</v>
      </c>
    </row>
    <row r="142" spans="2:8">
      <c r="B142" s="217">
        <v>3</v>
      </c>
      <c r="C142" s="217" t="s">
        <v>268</v>
      </c>
      <c r="D142" s="217" t="str">
        <f t="shared" si="6"/>
        <v>3桜小学校</v>
      </c>
      <c r="E142" s="218">
        <v>1</v>
      </c>
      <c r="F142" s="219" t="s">
        <v>399</v>
      </c>
      <c r="G142" s="219">
        <v>5</v>
      </c>
      <c r="H142" s="219" t="str">
        <f t="shared" si="7"/>
        <v>⑤相談室</v>
      </c>
    </row>
    <row r="143" spans="2:8">
      <c r="B143" s="217">
        <v>4</v>
      </c>
      <c r="C143" s="217" t="s">
        <v>268</v>
      </c>
      <c r="D143" s="217" t="str">
        <f t="shared" si="6"/>
        <v>4桜小学校</v>
      </c>
      <c r="E143" s="218">
        <v>1</v>
      </c>
      <c r="F143" s="219" t="s">
        <v>400</v>
      </c>
      <c r="G143" s="219">
        <v>4</v>
      </c>
      <c r="H143" s="219" t="str">
        <f t="shared" si="7"/>
        <v>④保健室</v>
      </c>
    </row>
    <row r="144" spans="2:8">
      <c r="B144" s="217">
        <v>5</v>
      </c>
      <c r="C144" s="217" t="s">
        <v>268</v>
      </c>
      <c r="D144" s="217" t="str">
        <f t="shared" si="6"/>
        <v>5桜小学校</v>
      </c>
      <c r="E144" s="218">
        <v>1</v>
      </c>
      <c r="F144" s="219" t="s">
        <v>463</v>
      </c>
      <c r="G144" s="219">
        <v>8</v>
      </c>
      <c r="H144" s="219" t="s">
        <v>376</v>
      </c>
    </row>
    <row r="145" spans="2:8">
      <c r="B145" s="217">
        <v>6</v>
      </c>
      <c r="C145" s="217" t="s">
        <v>268</v>
      </c>
      <c r="D145" s="217" t="str">
        <f t="shared" si="6"/>
        <v>6桜小学校</v>
      </c>
      <c r="E145" s="218">
        <v>1</v>
      </c>
      <c r="F145" s="219" t="s">
        <v>464</v>
      </c>
      <c r="G145" s="219">
        <v>7</v>
      </c>
      <c r="H145" s="219" t="s">
        <v>375</v>
      </c>
    </row>
    <row r="146" spans="2:8">
      <c r="B146" s="217">
        <v>7</v>
      </c>
      <c r="C146" s="217" t="s">
        <v>268</v>
      </c>
      <c r="D146" s="217" t="str">
        <f t="shared" si="6"/>
        <v>7桜小学校</v>
      </c>
      <c r="E146" s="218">
        <v>3</v>
      </c>
      <c r="F146" s="219" t="s">
        <v>399</v>
      </c>
      <c r="G146" s="219">
        <v>5</v>
      </c>
      <c r="H146" s="219" t="str">
        <f t="shared" si="7"/>
        <v>⑤相談室</v>
      </c>
    </row>
    <row r="147" spans="2:8">
      <c r="B147" s="217">
        <v>8</v>
      </c>
      <c r="C147" s="217" t="s">
        <v>268</v>
      </c>
      <c r="D147" s="217" t="str">
        <f t="shared" si="6"/>
        <v>8桜小学校</v>
      </c>
      <c r="E147" s="218">
        <v>2</v>
      </c>
      <c r="F147" s="219" t="s">
        <v>465</v>
      </c>
      <c r="G147" s="219">
        <v>8</v>
      </c>
      <c r="H147" s="219" t="s">
        <v>376</v>
      </c>
    </row>
    <row r="148" spans="2:8">
      <c r="B148" s="217">
        <v>9</v>
      </c>
      <c r="C148" s="217" t="s">
        <v>268</v>
      </c>
      <c r="D148" s="217" t="str">
        <f t="shared" si="6"/>
        <v>9桜小学校</v>
      </c>
      <c r="E148" s="218">
        <v>3</v>
      </c>
      <c r="F148" s="219" t="s">
        <v>406</v>
      </c>
      <c r="G148" s="219">
        <v>8</v>
      </c>
      <c r="H148" s="219" t="s">
        <v>460</v>
      </c>
    </row>
    <row r="149" spans="2:8">
      <c r="B149" s="217">
        <v>1</v>
      </c>
      <c r="C149" s="217" t="s">
        <v>269</v>
      </c>
      <c r="D149" s="217" t="str">
        <f t="shared" si="6"/>
        <v>1県小学校</v>
      </c>
      <c r="E149" s="218">
        <v>1</v>
      </c>
      <c r="F149" s="219" t="s">
        <v>394</v>
      </c>
      <c r="G149" s="219">
        <f>IF(F149="校長室",$L$5,IF(F149="職員室",$L$4,IF(F149="保健室",$L$6,IF(F149="相談室",$L$7,IF(F149="会議室",$L$8,"")))))</f>
        <v>3</v>
      </c>
      <c r="H149" s="219" t="str">
        <f>IF(F149="校長室",$M$5,IF(F149="職員室",$M$4,IF(F149="保健室",$M$6,IF(F149="相談室",$M$7,IF(F149="会議室",$M$8,"")))))</f>
        <v>③校長室</v>
      </c>
    </row>
    <row r="150" spans="2:8">
      <c r="B150" s="217">
        <v>2</v>
      </c>
      <c r="C150" s="217" t="s">
        <v>269</v>
      </c>
      <c r="D150" s="217" t="str">
        <f t="shared" si="6"/>
        <v>2県小学校</v>
      </c>
      <c r="E150" s="218">
        <v>1</v>
      </c>
      <c r="F150" s="219" t="s">
        <v>395</v>
      </c>
      <c r="G150" s="219">
        <f t="shared" ref="G150:G178" si="8">IF(F150="校長室",$L$5,IF(F150="職員室",$L$4,IF(F150="保健室",$L$6,IF(F150="相談室",$L$7,IF(F150="会議室",$L$8,"")))))</f>
        <v>2</v>
      </c>
      <c r="H150" s="219" t="str">
        <f t="shared" ref="H150:H178" si="9">IF(F150="校長室",$M$5,IF(F150="職員室",$M$4,IF(F150="保健室",$M$6,IF(F150="相談室",$M$7,IF(F150="会議室",$M$8,"")))))</f>
        <v>②職員室</v>
      </c>
    </row>
    <row r="151" spans="2:8">
      <c r="B151" s="217">
        <v>3</v>
      </c>
      <c r="C151" s="217" t="s">
        <v>269</v>
      </c>
      <c r="D151" s="217" t="str">
        <f t="shared" si="6"/>
        <v>3県小学校</v>
      </c>
      <c r="E151" s="218">
        <v>1</v>
      </c>
      <c r="F151" s="219" t="s">
        <v>429</v>
      </c>
      <c r="G151" s="219">
        <f t="shared" si="8"/>
        <v>6</v>
      </c>
      <c r="H151" s="219" t="str">
        <f t="shared" si="9"/>
        <v>⑥会議室</v>
      </c>
    </row>
    <row r="152" spans="2:8">
      <c r="B152" s="217">
        <v>4</v>
      </c>
      <c r="C152" s="217" t="s">
        <v>269</v>
      </c>
      <c r="D152" s="217" t="str">
        <f t="shared" si="6"/>
        <v>4県小学校</v>
      </c>
      <c r="E152" s="218">
        <v>1</v>
      </c>
      <c r="F152" s="219" t="s">
        <v>397</v>
      </c>
      <c r="G152" s="219">
        <v>7</v>
      </c>
      <c r="H152" s="219" t="s">
        <v>375</v>
      </c>
    </row>
    <row r="153" spans="2:8">
      <c r="B153" s="217">
        <v>5</v>
      </c>
      <c r="C153" s="217" t="s">
        <v>269</v>
      </c>
      <c r="D153" s="217" t="str">
        <f t="shared" si="6"/>
        <v>5県小学校</v>
      </c>
      <c r="E153" s="218">
        <v>2</v>
      </c>
      <c r="F153" s="219" t="s">
        <v>399</v>
      </c>
      <c r="G153" s="219">
        <f t="shared" si="8"/>
        <v>5</v>
      </c>
      <c r="H153" s="219" t="str">
        <f t="shared" si="9"/>
        <v>⑤相談室</v>
      </c>
    </row>
    <row r="154" spans="2:8">
      <c r="B154" s="217">
        <v>6</v>
      </c>
      <c r="C154" s="217" t="s">
        <v>269</v>
      </c>
      <c r="D154" s="217" t="str">
        <f t="shared" si="6"/>
        <v>6県小学校</v>
      </c>
      <c r="E154" s="218">
        <v>1</v>
      </c>
      <c r="F154" s="219" t="s">
        <v>400</v>
      </c>
      <c r="G154" s="219">
        <f t="shared" si="8"/>
        <v>4</v>
      </c>
      <c r="H154" s="219" t="str">
        <f t="shared" si="9"/>
        <v>④保健室</v>
      </c>
    </row>
    <row r="155" spans="2:8">
      <c r="B155" s="217">
        <v>7</v>
      </c>
      <c r="C155" s="217" t="s">
        <v>269</v>
      </c>
      <c r="D155" s="217" t="str">
        <f t="shared" si="6"/>
        <v>7県小学校</v>
      </c>
      <c r="E155" s="218">
        <v>1</v>
      </c>
      <c r="F155" s="219" t="s">
        <v>429</v>
      </c>
      <c r="G155" s="219">
        <f t="shared" si="8"/>
        <v>6</v>
      </c>
      <c r="H155" s="219" t="str">
        <f t="shared" si="9"/>
        <v>⑥会議室</v>
      </c>
    </row>
    <row r="156" spans="2:8">
      <c r="B156" s="217">
        <v>8</v>
      </c>
      <c r="C156" s="217" t="s">
        <v>269</v>
      </c>
      <c r="D156" s="217" t="str">
        <f t="shared" si="6"/>
        <v>8県小学校</v>
      </c>
      <c r="E156" s="218">
        <v>2</v>
      </c>
      <c r="F156" s="219" t="s">
        <v>466</v>
      </c>
      <c r="G156" s="219">
        <v>8</v>
      </c>
      <c r="H156" s="219" t="s">
        <v>376</v>
      </c>
    </row>
    <row r="157" spans="2:8">
      <c r="B157" s="217">
        <v>9</v>
      </c>
      <c r="C157" s="217" t="s">
        <v>269</v>
      </c>
      <c r="D157" s="217" t="str">
        <f t="shared" si="6"/>
        <v>9県小学校</v>
      </c>
      <c r="E157" s="218">
        <v>2</v>
      </c>
      <c r="F157" s="219" t="s">
        <v>406</v>
      </c>
      <c r="G157" s="219">
        <v>8</v>
      </c>
      <c r="H157" s="219" t="s">
        <v>376</v>
      </c>
    </row>
    <row r="158" spans="2:8">
      <c r="B158" s="217">
        <v>10</v>
      </c>
      <c r="C158" s="217" t="s">
        <v>269</v>
      </c>
      <c r="D158" s="217" t="str">
        <f t="shared" si="6"/>
        <v>10県小学校</v>
      </c>
      <c r="E158" s="218">
        <v>1</v>
      </c>
      <c r="F158" s="219" t="s">
        <v>412</v>
      </c>
      <c r="G158" s="219">
        <v>8</v>
      </c>
      <c r="H158" s="219" t="s">
        <v>376</v>
      </c>
    </row>
    <row r="159" spans="2:8">
      <c r="B159" s="217">
        <v>1</v>
      </c>
      <c r="C159" s="217" t="s">
        <v>270</v>
      </c>
      <c r="D159" s="217" t="str">
        <f t="shared" si="6"/>
        <v>1三重小学校</v>
      </c>
      <c r="E159" s="218">
        <v>1</v>
      </c>
      <c r="F159" s="219" t="s">
        <v>394</v>
      </c>
      <c r="G159" s="219">
        <f t="shared" si="8"/>
        <v>3</v>
      </c>
      <c r="H159" s="219" t="str">
        <f t="shared" si="9"/>
        <v>③校長室</v>
      </c>
    </row>
    <row r="160" spans="2:8">
      <c r="B160" s="217">
        <v>2</v>
      </c>
      <c r="C160" s="217" t="s">
        <v>270</v>
      </c>
      <c r="D160" s="217" t="str">
        <f t="shared" si="6"/>
        <v>2三重小学校</v>
      </c>
      <c r="E160" s="218">
        <v>1</v>
      </c>
      <c r="F160" s="219" t="s">
        <v>395</v>
      </c>
      <c r="G160" s="219">
        <f t="shared" si="8"/>
        <v>2</v>
      </c>
      <c r="H160" s="219" t="str">
        <f t="shared" si="9"/>
        <v>②職員室</v>
      </c>
    </row>
    <row r="161" spans="2:8">
      <c r="B161" s="217">
        <v>3</v>
      </c>
      <c r="C161" s="217" t="s">
        <v>270</v>
      </c>
      <c r="D161" s="217" t="str">
        <f t="shared" si="6"/>
        <v>3三重小学校</v>
      </c>
      <c r="E161" s="218">
        <v>1</v>
      </c>
      <c r="F161" s="219" t="s">
        <v>429</v>
      </c>
      <c r="G161" s="219">
        <f t="shared" si="8"/>
        <v>6</v>
      </c>
      <c r="H161" s="219" t="str">
        <f t="shared" si="9"/>
        <v>⑥会議室</v>
      </c>
    </row>
    <row r="162" spans="2:8">
      <c r="B162" s="217">
        <v>4</v>
      </c>
      <c r="C162" s="217" t="s">
        <v>270</v>
      </c>
      <c r="D162" s="217" t="str">
        <f t="shared" si="6"/>
        <v>4三重小学校</v>
      </c>
      <c r="E162" s="218">
        <v>1</v>
      </c>
      <c r="F162" s="219" t="s">
        <v>400</v>
      </c>
      <c r="G162" s="219">
        <f t="shared" si="8"/>
        <v>4</v>
      </c>
      <c r="H162" s="219" t="str">
        <f t="shared" si="9"/>
        <v>④保健室</v>
      </c>
    </row>
    <row r="163" spans="2:8">
      <c r="B163" s="217">
        <v>5</v>
      </c>
      <c r="C163" s="217" t="s">
        <v>270</v>
      </c>
      <c r="D163" s="217" t="str">
        <f t="shared" si="6"/>
        <v>5三重小学校</v>
      </c>
      <c r="E163" s="218">
        <v>1</v>
      </c>
      <c r="F163" s="219" t="s">
        <v>406</v>
      </c>
      <c r="G163" s="219">
        <v>8</v>
      </c>
      <c r="H163" s="219" t="s">
        <v>376</v>
      </c>
    </row>
    <row r="164" spans="2:8">
      <c r="B164" s="217">
        <v>1</v>
      </c>
      <c r="C164" s="217" t="s">
        <v>271</v>
      </c>
      <c r="D164" s="217" t="str">
        <f t="shared" si="6"/>
        <v>1大矢知興譲小学校</v>
      </c>
      <c r="E164" s="218">
        <v>1</v>
      </c>
      <c r="F164" s="219" t="s">
        <v>394</v>
      </c>
      <c r="G164" s="219">
        <f t="shared" si="8"/>
        <v>3</v>
      </c>
      <c r="H164" s="219" t="str">
        <f t="shared" si="9"/>
        <v>③校長室</v>
      </c>
    </row>
    <row r="165" spans="2:8">
      <c r="B165" s="217">
        <v>2</v>
      </c>
      <c r="C165" s="217" t="s">
        <v>271</v>
      </c>
      <c r="D165" s="217" t="str">
        <f t="shared" si="6"/>
        <v>2大矢知興譲小学校</v>
      </c>
      <c r="E165" s="218">
        <v>1</v>
      </c>
      <c r="F165" s="219" t="s">
        <v>395</v>
      </c>
      <c r="G165" s="219">
        <f t="shared" si="8"/>
        <v>2</v>
      </c>
      <c r="H165" s="219" t="str">
        <f t="shared" si="9"/>
        <v>②職員室</v>
      </c>
    </row>
    <row r="166" spans="2:8">
      <c r="B166" s="217">
        <v>3</v>
      </c>
      <c r="C166" s="217" t="s">
        <v>271</v>
      </c>
      <c r="D166" s="217" t="str">
        <f t="shared" ref="D166:D200" si="10">B166&amp;C166</f>
        <v>3大矢知興譲小学校</v>
      </c>
      <c r="E166" s="218">
        <v>1</v>
      </c>
      <c r="F166" s="219" t="s">
        <v>400</v>
      </c>
      <c r="G166" s="219">
        <f t="shared" si="8"/>
        <v>4</v>
      </c>
      <c r="H166" s="219" t="str">
        <f t="shared" si="9"/>
        <v>④保健室</v>
      </c>
    </row>
    <row r="167" spans="2:8">
      <c r="B167" s="217">
        <v>4</v>
      </c>
      <c r="C167" s="217" t="s">
        <v>271</v>
      </c>
      <c r="D167" s="217" t="str">
        <f t="shared" si="10"/>
        <v>4大矢知興譲小学校</v>
      </c>
      <c r="E167" s="218">
        <v>1</v>
      </c>
      <c r="F167" s="219" t="s">
        <v>467</v>
      </c>
      <c r="G167" s="219">
        <v>8</v>
      </c>
      <c r="H167" s="219" t="s">
        <v>376</v>
      </c>
    </row>
    <row r="168" spans="2:8">
      <c r="B168" s="217">
        <v>5</v>
      </c>
      <c r="C168" s="217" t="s">
        <v>271</v>
      </c>
      <c r="D168" s="217" t="str">
        <f t="shared" si="10"/>
        <v>5大矢知興譲小学校</v>
      </c>
      <c r="E168" s="218">
        <v>1</v>
      </c>
      <c r="F168" s="219" t="s">
        <v>424</v>
      </c>
      <c r="G168" s="219">
        <v>8</v>
      </c>
      <c r="H168" s="219" t="s">
        <v>376</v>
      </c>
    </row>
    <row r="169" spans="2:8">
      <c r="B169" s="217">
        <v>6</v>
      </c>
      <c r="C169" s="217" t="s">
        <v>271</v>
      </c>
      <c r="D169" s="217" t="str">
        <f t="shared" si="10"/>
        <v>6大矢知興譲小学校</v>
      </c>
      <c r="E169" s="218">
        <v>1</v>
      </c>
      <c r="F169" s="219" t="s">
        <v>468</v>
      </c>
      <c r="G169" s="219">
        <v>8</v>
      </c>
      <c r="H169" s="219" t="s">
        <v>376</v>
      </c>
    </row>
    <row r="170" spans="2:8">
      <c r="B170" s="217">
        <v>7</v>
      </c>
      <c r="C170" s="217" t="s">
        <v>271</v>
      </c>
      <c r="D170" s="217" t="str">
        <f t="shared" si="10"/>
        <v>7大矢知興譲小学校</v>
      </c>
      <c r="E170" s="218">
        <v>1</v>
      </c>
      <c r="F170" s="219" t="s">
        <v>469</v>
      </c>
      <c r="G170" s="219">
        <v>8</v>
      </c>
      <c r="H170" s="219" t="s">
        <v>376</v>
      </c>
    </row>
    <row r="171" spans="2:8">
      <c r="B171" s="217">
        <v>8</v>
      </c>
      <c r="C171" s="217" t="s">
        <v>271</v>
      </c>
      <c r="D171" s="217" t="str">
        <f t="shared" si="10"/>
        <v>8大矢知興譲小学校</v>
      </c>
      <c r="E171" s="218">
        <v>2</v>
      </c>
      <c r="F171" s="219" t="s">
        <v>470</v>
      </c>
      <c r="G171" s="219">
        <v>8</v>
      </c>
      <c r="H171" s="219" t="s">
        <v>376</v>
      </c>
    </row>
    <row r="172" spans="2:8">
      <c r="B172" s="217">
        <v>9</v>
      </c>
      <c r="C172" s="217" t="s">
        <v>271</v>
      </c>
      <c r="D172" s="217" t="str">
        <f t="shared" si="10"/>
        <v>9大矢知興譲小学校</v>
      </c>
      <c r="E172" s="218">
        <v>3</v>
      </c>
      <c r="F172" s="219" t="s">
        <v>471</v>
      </c>
      <c r="G172" s="219">
        <v>8</v>
      </c>
      <c r="H172" s="219" t="s">
        <v>376</v>
      </c>
    </row>
    <row r="173" spans="2:8">
      <c r="B173" s="217">
        <v>1</v>
      </c>
      <c r="C173" s="217" t="s">
        <v>272</v>
      </c>
      <c r="D173" s="217" t="str">
        <f t="shared" si="10"/>
        <v>1八郷小学校</v>
      </c>
      <c r="E173" s="218">
        <v>1</v>
      </c>
      <c r="F173" s="219" t="s">
        <v>394</v>
      </c>
      <c r="G173" s="219">
        <f t="shared" si="8"/>
        <v>3</v>
      </c>
      <c r="H173" s="219" t="str">
        <f t="shared" si="9"/>
        <v>③校長室</v>
      </c>
    </row>
    <row r="174" spans="2:8">
      <c r="B174" s="217">
        <v>2</v>
      </c>
      <c r="C174" s="217" t="s">
        <v>272</v>
      </c>
      <c r="D174" s="217" t="str">
        <f t="shared" si="10"/>
        <v>2八郷小学校</v>
      </c>
      <c r="E174" s="218">
        <v>1</v>
      </c>
      <c r="F174" s="219" t="s">
        <v>395</v>
      </c>
      <c r="G174" s="219">
        <f t="shared" si="8"/>
        <v>2</v>
      </c>
      <c r="H174" s="219" t="str">
        <f t="shared" si="9"/>
        <v>②職員室</v>
      </c>
    </row>
    <row r="175" spans="2:8">
      <c r="B175" s="217">
        <v>3</v>
      </c>
      <c r="C175" s="217" t="s">
        <v>272</v>
      </c>
      <c r="D175" s="217" t="str">
        <f t="shared" si="10"/>
        <v>3八郷小学校</v>
      </c>
      <c r="E175" s="218">
        <v>1</v>
      </c>
      <c r="F175" s="219" t="s">
        <v>398</v>
      </c>
      <c r="G175" s="219">
        <v>7</v>
      </c>
      <c r="H175" s="219" t="s">
        <v>375</v>
      </c>
    </row>
    <row r="176" spans="2:8">
      <c r="B176" s="217">
        <v>4</v>
      </c>
      <c r="C176" s="217" t="s">
        <v>272</v>
      </c>
      <c r="D176" s="217" t="str">
        <f t="shared" si="10"/>
        <v>4八郷小学校</v>
      </c>
      <c r="E176" s="218">
        <v>1</v>
      </c>
      <c r="F176" s="219" t="s">
        <v>400</v>
      </c>
      <c r="G176" s="219">
        <f t="shared" si="8"/>
        <v>4</v>
      </c>
      <c r="H176" s="219" t="str">
        <f t="shared" si="9"/>
        <v>④保健室</v>
      </c>
    </row>
    <row r="177" spans="2:8">
      <c r="B177" s="217">
        <v>5</v>
      </c>
      <c r="C177" s="217" t="s">
        <v>272</v>
      </c>
      <c r="D177" s="217" t="str">
        <f t="shared" si="10"/>
        <v>5八郷小学校</v>
      </c>
      <c r="E177" s="218">
        <v>1</v>
      </c>
      <c r="F177" s="219" t="s">
        <v>399</v>
      </c>
      <c r="G177" s="219">
        <f t="shared" si="8"/>
        <v>5</v>
      </c>
      <c r="H177" s="219" t="str">
        <f t="shared" si="9"/>
        <v>⑤相談室</v>
      </c>
    </row>
    <row r="178" spans="2:8">
      <c r="B178" s="217">
        <v>6</v>
      </c>
      <c r="C178" s="217" t="s">
        <v>272</v>
      </c>
      <c r="D178" s="217" t="str">
        <f t="shared" si="10"/>
        <v>6八郷小学校</v>
      </c>
      <c r="E178" s="218">
        <v>1</v>
      </c>
      <c r="F178" s="219" t="s">
        <v>399</v>
      </c>
      <c r="G178" s="219">
        <f t="shared" si="8"/>
        <v>5</v>
      </c>
      <c r="H178" s="219" t="str">
        <f t="shared" si="9"/>
        <v>⑤相談室</v>
      </c>
    </row>
    <row r="179" spans="2:8">
      <c r="B179" s="217">
        <v>7</v>
      </c>
      <c r="C179" s="217" t="s">
        <v>272</v>
      </c>
      <c r="D179" s="217" t="str">
        <f t="shared" si="10"/>
        <v>7八郷小学校</v>
      </c>
      <c r="E179" s="218">
        <v>4</v>
      </c>
      <c r="F179" s="219" t="s">
        <v>472</v>
      </c>
      <c r="G179" s="219">
        <v>8</v>
      </c>
      <c r="H179" s="219" t="s">
        <v>376</v>
      </c>
    </row>
    <row r="180" spans="2:8">
      <c r="B180" s="217">
        <v>8</v>
      </c>
      <c r="C180" s="217" t="s">
        <v>272</v>
      </c>
      <c r="D180" s="217" t="str">
        <f t="shared" si="10"/>
        <v>8八郷小学校</v>
      </c>
      <c r="E180" s="218">
        <v>4</v>
      </c>
      <c r="F180" s="219" t="s">
        <v>473</v>
      </c>
      <c r="G180" s="219">
        <v>6</v>
      </c>
      <c r="H180" s="219" t="s">
        <v>373</v>
      </c>
    </row>
    <row r="181" spans="2:8">
      <c r="B181" s="217">
        <v>9</v>
      </c>
      <c r="C181" s="217" t="s">
        <v>272</v>
      </c>
      <c r="D181" s="217" t="str">
        <f t="shared" si="10"/>
        <v>9八郷小学校</v>
      </c>
      <c r="E181" s="218">
        <v>3</v>
      </c>
      <c r="F181" s="219" t="s">
        <v>474</v>
      </c>
      <c r="G181" s="219">
        <v>8</v>
      </c>
      <c r="H181" s="219" t="s">
        <v>376</v>
      </c>
    </row>
    <row r="182" spans="2:8">
      <c r="B182" s="217">
        <v>10</v>
      </c>
      <c r="C182" s="217" t="s">
        <v>272</v>
      </c>
      <c r="D182" s="217" t="str">
        <f t="shared" si="10"/>
        <v>10八郷小学校</v>
      </c>
      <c r="E182" s="218">
        <v>3</v>
      </c>
      <c r="F182" s="219" t="s">
        <v>424</v>
      </c>
      <c r="G182" s="219">
        <v>8</v>
      </c>
      <c r="H182" s="219" t="s">
        <v>376</v>
      </c>
    </row>
    <row r="183" spans="2:8">
      <c r="B183" s="217">
        <v>11</v>
      </c>
      <c r="C183" s="217" t="s">
        <v>272</v>
      </c>
      <c r="D183" s="217" t="str">
        <f t="shared" si="10"/>
        <v>11八郷小学校</v>
      </c>
      <c r="E183" s="218">
        <v>3</v>
      </c>
      <c r="F183" s="219" t="s">
        <v>424</v>
      </c>
      <c r="G183" s="219">
        <v>8</v>
      </c>
      <c r="H183" s="219" t="s">
        <v>376</v>
      </c>
    </row>
    <row r="184" spans="2:8">
      <c r="B184" s="217">
        <v>12</v>
      </c>
      <c r="C184" s="217" t="s">
        <v>272</v>
      </c>
      <c r="D184" s="217" t="str">
        <f t="shared" si="10"/>
        <v>12八郷小学校</v>
      </c>
      <c r="E184" s="218">
        <v>3</v>
      </c>
      <c r="F184" s="219" t="s">
        <v>475</v>
      </c>
      <c r="G184" s="219">
        <v>8</v>
      </c>
      <c r="H184" s="219" t="s">
        <v>376</v>
      </c>
    </row>
    <row r="185" spans="2:8">
      <c r="B185" s="217">
        <v>1</v>
      </c>
      <c r="C185" s="217" t="s">
        <v>273</v>
      </c>
      <c r="D185" s="217" t="str">
        <f t="shared" si="10"/>
        <v>1下野小学校</v>
      </c>
      <c r="E185" s="218">
        <v>1</v>
      </c>
      <c r="F185" s="219" t="s">
        <v>394</v>
      </c>
      <c r="G185" s="219">
        <f t="shared" ref="G185:G218" si="11">IF(F185="校長室",$L$5,IF(F185="職員室",$L$4,IF(F185="保健室",$L$6,IF(F185="相談室",$L$7,IF(F185="会議室",$L$8,"")))))</f>
        <v>3</v>
      </c>
      <c r="H185" s="219" t="str">
        <f t="shared" ref="H185:H218" si="12">IF(F185="校長室",$M$5,IF(F185="職員室",$M$4,IF(F185="保健室",$M$6,IF(F185="相談室",$M$7,IF(F185="会議室",$M$8,"")))))</f>
        <v>③校長室</v>
      </c>
    </row>
    <row r="186" spans="2:8">
      <c r="B186" s="217">
        <v>2</v>
      </c>
      <c r="C186" s="217" t="s">
        <v>273</v>
      </c>
      <c r="D186" s="217" t="str">
        <f t="shared" si="10"/>
        <v>2下野小学校</v>
      </c>
      <c r="E186" s="218">
        <v>1</v>
      </c>
      <c r="F186" s="219" t="s">
        <v>395</v>
      </c>
      <c r="G186" s="219">
        <f t="shared" si="11"/>
        <v>2</v>
      </c>
      <c r="H186" s="219" t="str">
        <f t="shared" si="12"/>
        <v>②職員室</v>
      </c>
    </row>
    <row r="187" spans="2:8">
      <c r="B187" s="217">
        <v>3</v>
      </c>
      <c r="C187" s="217" t="s">
        <v>273</v>
      </c>
      <c r="D187" s="217" t="str">
        <f t="shared" si="10"/>
        <v>3下野小学校</v>
      </c>
      <c r="E187" s="218">
        <v>1</v>
      </c>
      <c r="F187" s="219" t="s">
        <v>399</v>
      </c>
      <c r="G187" s="219">
        <f t="shared" si="11"/>
        <v>5</v>
      </c>
      <c r="H187" s="219" t="str">
        <f t="shared" si="12"/>
        <v>⑤相談室</v>
      </c>
    </row>
    <row r="188" spans="2:8">
      <c r="B188" s="217">
        <v>4</v>
      </c>
      <c r="C188" s="217" t="s">
        <v>273</v>
      </c>
      <c r="D188" s="217" t="str">
        <f t="shared" si="10"/>
        <v>4下野小学校</v>
      </c>
      <c r="E188" s="218">
        <v>1</v>
      </c>
      <c r="F188" s="219" t="s">
        <v>400</v>
      </c>
      <c r="G188" s="219">
        <f t="shared" si="11"/>
        <v>4</v>
      </c>
      <c r="H188" s="219" t="str">
        <f t="shared" si="12"/>
        <v>④保健室</v>
      </c>
    </row>
    <row r="189" spans="2:8">
      <c r="B189" s="217">
        <v>5</v>
      </c>
      <c r="C189" s="217" t="s">
        <v>273</v>
      </c>
      <c r="D189" s="217" t="str">
        <f t="shared" si="10"/>
        <v>5下野小学校</v>
      </c>
      <c r="E189" s="218">
        <v>2</v>
      </c>
      <c r="F189" s="219" t="s">
        <v>476</v>
      </c>
      <c r="G189" s="219">
        <v>8</v>
      </c>
      <c r="H189" s="219" t="s">
        <v>376</v>
      </c>
    </row>
    <row r="190" spans="2:8">
      <c r="B190" s="217">
        <v>6</v>
      </c>
      <c r="C190" s="217" t="s">
        <v>273</v>
      </c>
      <c r="D190" s="217" t="str">
        <f t="shared" si="10"/>
        <v>6下野小学校</v>
      </c>
      <c r="E190" s="218">
        <v>3</v>
      </c>
      <c r="F190" s="219" t="s">
        <v>441</v>
      </c>
      <c r="G190" s="219">
        <v>8</v>
      </c>
      <c r="H190" s="219" t="s">
        <v>376</v>
      </c>
    </row>
    <row r="191" spans="2:8">
      <c r="B191" s="217">
        <v>7</v>
      </c>
      <c r="C191" s="217" t="s">
        <v>273</v>
      </c>
      <c r="D191" s="217" t="str">
        <f t="shared" si="10"/>
        <v>7下野小学校</v>
      </c>
      <c r="E191" s="218">
        <v>1</v>
      </c>
      <c r="F191" s="219" t="s">
        <v>477</v>
      </c>
      <c r="G191" s="219">
        <v>8</v>
      </c>
      <c r="H191" s="219" t="s">
        <v>376</v>
      </c>
    </row>
    <row r="192" spans="2:8">
      <c r="B192" s="217">
        <v>1</v>
      </c>
      <c r="C192" s="217" t="s">
        <v>274</v>
      </c>
      <c r="D192" s="217" t="str">
        <f t="shared" si="10"/>
        <v>1保々小学校</v>
      </c>
      <c r="E192" s="218">
        <v>1</v>
      </c>
      <c r="F192" s="219" t="s">
        <v>394</v>
      </c>
      <c r="G192" s="219">
        <f t="shared" si="11"/>
        <v>3</v>
      </c>
      <c r="H192" s="219" t="str">
        <f t="shared" si="12"/>
        <v>③校長室</v>
      </c>
    </row>
    <row r="193" spans="2:8">
      <c r="B193" s="217">
        <v>2</v>
      </c>
      <c r="C193" s="217" t="s">
        <v>274</v>
      </c>
      <c r="D193" s="217" t="str">
        <f t="shared" si="10"/>
        <v>2保々小学校</v>
      </c>
      <c r="E193" s="218">
        <v>1</v>
      </c>
      <c r="F193" s="219" t="s">
        <v>395</v>
      </c>
      <c r="G193" s="219">
        <f t="shared" si="11"/>
        <v>2</v>
      </c>
      <c r="H193" s="219" t="str">
        <f t="shared" si="12"/>
        <v>②職員室</v>
      </c>
    </row>
    <row r="194" spans="2:8">
      <c r="B194" s="217">
        <v>3</v>
      </c>
      <c r="C194" s="217" t="s">
        <v>274</v>
      </c>
      <c r="D194" s="217" t="str">
        <f t="shared" si="10"/>
        <v>3保々小学校</v>
      </c>
      <c r="E194" s="218">
        <v>1</v>
      </c>
      <c r="F194" s="219" t="s">
        <v>478</v>
      </c>
      <c r="G194" s="219">
        <v>5</v>
      </c>
      <c r="H194" s="219" t="s">
        <v>374</v>
      </c>
    </row>
    <row r="195" spans="2:8">
      <c r="B195" s="217">
        <v>4</v>
      </c>
      <c r="C195" s="217" t="s">
        <v>274</v>
      </c>
      <c r="D195" s="217" t="str">
        <f t="shared" si="10"/>
        <v>4保々小学校</v>
      </c>
      <c r="E195" s="218">
        <v>1</v>
      </c>
      <c r="F195" s="219" t="s">
        <v>400</v>
      </c>
      <c r="G195" s="219">
        <f t="shared" si="11"/>
        <v>4</v>
      </c>
      <c r="H195" s="219" t="str">
        <f t="shared" si="12"/>
        <v>④保健室</v>
      </c>
    </row>
    <row r="196" spans="2:8">
      <c r="B196" s="217">
        <v>5</v>
      </c>
      <c r="C196" s="217" t="s">
        <v>274</v>
      </c>
      <c r="D196" s="217" t="str">
        <f t="shared" si="10"/>
        <v>5保々小学校</v>
      </c>
      <c r="E196" s="218">
        <v>2</v>
      </c>
      <c r="F196" s="219" t="s">
        <v>479</v>
      </c>
      <c r="G196" s="219">
        <v>8</v>
      </c>
      <c r="H196" s="219" t="s">
        <v>376</v>
      </c>
    </row>
    <row r="197" spans="2:8">
      <c r="B197" s="217">
        <v>6</v>
      </c>
      <c r="C197" s="217" t="s">
        <v>274</v>
      </c>
      <c r="D197" s="217" t="str">
        <f t="shared" si="10"/>
        <v>6保々小学校</v>
      </c>
      <c r="E197" s="218">
        <v>2</v>
      </c>
      <c r="F197" s="219" t="s">
        <v>424</v>
      </c>
      <c r="G197" s="219">
        <v>8</v>
      </c>
      <c r="H197" s="219" t="s">
        <v>376</v>
      </c>
    </row>
    <row r="198" spans="2:8">
      <c r="B198" s="217">
        <v>7</v>
      </c>
      <c r="C198" s="217" t="s">
        <v>274</v>
      </c>
      <c r="D198" s="217" t="str">
        <f t="shared" si="10"/>
        <v>7保々小学校</v>
      </c>
      <c r="E198" s="218">
        <v>3</v>
      </c>
      <c r="F198" s="219" t="s">
        <v>424</v>
      </c>
      <c r="G198" s="219">
        <v>8</v>
      </c>
      <c r="H198" s="219" t="s">
        <v>376</v>
      </c>
    </row>
    <row r="199" spans="2:8">
      <c r="B199" s="217">
        <v>8</v>
      </c>
      <c r="C199" s="217" t="s">
        <v>274</v>
      </c>
      <c r="D199" s="217" t="str">
        <f t="shared" si="10"/>
        <v>8保々小学校</v>
      </c>
      <c r="E199" s="218">
        <v>3</v>
      </c>
      <c r="F199" s="219" t="s">
        <v>406</v>
      </c>
      <c r="G199" s="219">
        <v>8</v>
      </c>
      <c r="H199" s="219" t="s">
        <v>376</v>
      </c>
    </row>
    <row r="200" spans="2:8">
      <c r="B200" s="217">
        <v>9</v>
      </c>
      <c r="C200" s="217" t="s">
        <v>274</v>
      </c>
      <c r="D200" s="217" t="str">
        <f t="shared" si="10"/>
        <v>9保々小学校</v>
      </c>
      <c r="E200" s="218">
        <v>1</v>
      </c>
      <c r="F200" s="219" t="s">
        <v>435</v>
      </c>
      <c r="G200" s="219">
        <v>8</v>
      </c>
      <c r="H200" s="219" t="s">
        <v>376</v>
      </c>
    </row>
    <row r="201" spans="2:8">
      <c r="B201" s="217">
        <v>1</v>
      </c>
      <c r="C201" s="217" t="s">
        <v>275</v>
      </c>
      <c r="D201" s="217" t="str">
        <f t="shared" ref="D201:D231" si="13">B201&amp;C201</f>
        <v>1水沢小学校</v>
      </c>
      <c r="E201" s="218">
        <v>1</v>
      </c>
      <c r="F201" s="219" t="s">
        <v>394</v>
      </c>
      <c r="G201" s="219">
        <f t="shared" si="11"/>
        <v>3</v>
      </c>
      <c r="H201" s="219" t="str">
        <f t="shared" si="12"/>
        <v>③校長室</v>
      </c>
    </row>
    <row r="202" spans="2:8">
      <c r="B202" s="217">
        <v>2</v>
      </c>
      <c r="C202" s="217" t="s">
        <v>275</v>
      </c>
      <c r="D202" s="217" t="str">
        <f t="shared" si="13"/>
        <v>2水沢小学校</v>
      </c>
      <c r="E202" s="218">
        <v>1</v>
      </c>
      <c r="F202" s="219" t="s">
        <v>395</v>
      </c>
      <c r="G202" s="219">
        <f t="shared" si="11"/>
        <v>2</v>
      </c>
      <c r="H202" s="219" t="str">
        <f t="shared" si="12"/>
        <v>②職員室</v>
      </c>
    </row>
    <row r="203" spans="2:8">
      <c r="B203" s="217">
        <v>3</v>
      </c>
      <c r="C203" s="217" t="s">
        <v>275</v>
      </c>
      <c r="D203" s="217" t="str">
        <f t="shared" si="13"/>
        <v>3水沢小学校</v>
      </c>
      <c r="E203" s="218">
        <v>1</v>
      </c>
      <c r="F203" s="219" t="s">
        <v>399</v>
      </c>
      <c r="G203" s="219">
        <f t="shared" si="11"/>
        <v>5</v>
      </c>
      <c r="H203" s="219" t="str">
        <f t="shared" si="12"/>
        <v>⑤相談室</v>
      </c>
    </row>
    <row r="204" spans="2:8">
      <c r="B204" s="217">
        <v>4</v>
      </c>
      <c r="C204" s="217" t="s">
        <v>275</v>
      </c>
      <c r="D204" s="217" t="str">
        <f t="shared" si="13"/>
        <v>4水沢小学校</v>
      </c>
      <c r="E204" s="218">
        <v>1</v>
      </c>
      <c r="F204" s="219" t="s">
        <v>400</v>
      </c>
      <c r="G204" s="219">
        <f t="shared" si="11"/>
        <v>4</v>
      </c>
      <c r="H204" s="219" t="str">
        <f t="shared" si="12"/>
        <v>④保健室</v>
      </c>
    </row>
    <row r="205" spans="2:8">
      <c r="B205" s="217">
        <v>5</v>
      </c>
      <c r="C205" s="217" t="s">
        <v>275</v>
      </c>
      <c r="D205" s="217" t="str">
        <f t="shared" si="13"/>
        <v>5水沢小学校</v>
      </c>
      <c r="E205" s="218">
        <v>1</v>
      </c>
      <c r="F205" s="219" t="s">
        <v>429</v>
      </c>
      <c r="G205" s="219">
        <f t="shared" si="11"/>
        <v>6</v>
      </c>
      <c r="H205" s="219" t="str">
        <f t="shared" si="12"/>
        <v>⑥会議室</v>
      </c>
    </row>
    <row r="206" spans="2:8">
      <c r="B206" s="217">
        <v>6</v>
      </c>
      <c r="C206" s="217" t="s">
        <v>275</v>
      </c>
      <c r="D206" s="217" t="str">
        <f t="shared" si="13"/>
        <v>6水沢小学校</v>
      </c>
      <c r="E206" s="218">
        <v>3</v>
      </c>
      <c r="F206" s="219" t="s">
        <v>441</v>
      </c>
      <c r="G206" s="219">
        <v>8</v>
      </c>
      <c r="H206" s="219" t="s">
        <v>376</v>
      </c>
    </row>
    <row r="207" spans="2:8">
      <c r="B207" s="217">
        <v>7</v>
      </c>
      <c r="C207" s="217" t="s">
        <v>275</v>
      </c>
      <c r="D207" s="217" t="str">
        <f t="shared" si="13"/>
        <v>7水沢小学校</v>
      </c>
      <c r="E207" s="218">
        <v>1</v>
      </c>
      <c r="F207" s="219" t="s">
        <v>424</v>
      </c>
      <c r="G207" s="219">
        <v>8</v>
      </c>
      <c r="H207" s="219" t="s">
        <v>376</v>
      </c>
    </row>
    <row r="208" spans="2:8">
      <c r="B208" s="217">
        <v>8</v>
      </c>
      <c r="C208" s="217" t="s">
        <v>275</v>
      </c>
      <c r="D208" s="217" t="str">
        <f t="shared" si="13"/>
        <v>8水沢小学校</v>
      </c>
      <c r="E208" s="218">
        <v>2</v>
      </c>
      <c r="F208" s="219" t="s">
        <v>424</v>
      </c>
      <c r="G208" s="219">
        <v>8</v>
      </c>
      <c r="H208" s="219" t="s">
        <v>376</v>
      </c>
    </row>
    <row r="209" spans="2:8">
      <c r="B209" s="217">
        <v>1</v>
      </c>
      <c r="C209" s="217" t="s">
        <v>276</v>
      </c>
      <c r="D209" s="217" t="str">
        <f t="shared" si="13"/>
        <v>1泊山小学校</v>
      </c>
      <c r="E209" s="218">
        <v>1</v>
      </c>
      <c r="F209" s="219" t="s">
        <v>399</v>
      </c>
      <c r="G209" s="219">
        <f t="shared" si="11"/>
        <v>5</v>
      </c>
      <c r="H209" s="219" t="str">
        <f t="shared" si="12"/>
        <v>⑤相談室</v>
      </c>
    </row>
    <row r="210" spans="2:8">
      <c r="B210" s="217">
        <v>2</v>
      </c>
      <c r="C210" s="217" t="s">
        <v>276</v>
      </c>
      <c r="D210" s="217" t="str">
        <f t="shared" si="13"/>
        <v>2泊山小学校</v>
      </c>
      <c r="E210" s="218">
        <v>1</v>
      </c>
      <c r="F210" s="219" t="s">
        <v>480</v>
      </c>
      <c r="G210" s="219">
        <v>8</v>
      </c>
      <c r="H210" s="219" t="s">
        <v>376</v>
      </c>
    </row>
    <row r="211" spans="2:8">
      <c r="B211" s="217">
        <v>3</v>
      </c>
      <c r="C211" s="217" t="s">
        <v>276</v>
      </c>
      <c r="D211" s="217" t="str">
        <f t="shared" si="13"/>
        <v>3泊山小学校</v>
      </c>
      <c r="E211" s="218">
        <v>2</v>
      </c>
      <c r="F211" s="219" t="s">
        <v>429</v>
      </c>
      <c r="G211" s="219">
        <f t="shared" si="11"/>
        <v>6</v>
      </c>
      <c r="H211" s="219" t="str">
        <f t="shared" si="12"/>
        <v>⑥会議室</v>
      </c>
    </row>
    <row r="212" spans="2:8">
      <c r="B212" s="217">
        <v>4</v>
      </c>
      <c r="C212" s="217" t="s">
        <v>276</v>
      </c>
      <c r="D212" s="217" t="str">
        <f t="shared" si="13"/>
        <v>4泊山小学校</v>
      </c>
      <c r="E212" s="218">
        <v>2</v>
      </c>
      <c r="F212" s="219" t="s">
        <v>481</v>
      </c>
      <c r="G212" s="219">
        <v>8</v>
      </c>
      <c r="H212" s="219" t="s">
        <v>376</v>
      </c>
    </row>
    <row r="213" spans="2:8">
      <c r="B213" s="217">
        <v>5</v>
      </c>
      <c r="C213" s="217" t="s">
        <v>276</v>
      </c>
      <c r="D213" s="217" t="str">
        <f t="shared" si="13"/>
        <v>5泊山小学校</v>
      </c>
      <c r="E213" s="218">
        <v>2</v>
      </c>
      <c r="F213" s="219" t="s">
        <v>481</v>
      </c>
      <c r="G213" s="219">
        <v>8</v>
      </c>
      <c r="H213" s="219" t="s">
        <v>376</v>
      </c>
    </row>
    <row r="214" spans="2:8">
      <c r="B214" s="217">
        <v>6</v>
      </c>
      <c r="C214" s="217" t="s">
        <v>276</v>
      </c>
      <c r="D214" s="217" t="str">
        <f t="shared" si="13"/>
        <v>6泊山小学校</v>
      </c>
      <c r="E214" s="218">
        <v>3</v>
      </c>
      <c r="F214" s="219" t="s">
        <v>482</v>
      </c>
      <c r="G214" s="219">
        <v>8</v>
      </c>
      <c r="H214" s="219" t="s">
        <v>376</v>
      </c>
    </row>
    <row r="215" spans="2:8">
      <c r="B215" s="217">
        <v>7</v>
      </c>
      <c r="C215" s="217" t="s">
        <v>276</v>
      </c>
      <c r="D215" s="217" t="str">
        <f t="shared" si="13"/>
        <v>7泊山小学校</v>
      </c>
      <c r="E215" s="218">
        <v>3</v>
      </c>
      <c r="F215" s="219" t="s">
        <v>399</v>
      </c>
      <c r="G215" s="219">
        <f t="shared" si="11"/>
        <v>5</v>
      </c>
      <c r="H215" s="219" t="str">
        <f t="shared" si="12"/>
        <v>⑤相談室</v>
      </c>
    </row>
    <row r="216" spans="2:8">
      <c r="B216" s="217">
        <v>8</v>
      </c>
      <c r="C216" s="217" t="s">
        <v>276</v>
      </c>
      <c r="D216" s="217" t="str">
        <f t="shared" si="13"/>
        <v>8泊山小学校</v>
      </c>
      <c r="E216" s="218">
        <v>3</v>
      </c>
      <c r="F216" s="219" t="s">
        <v>483</v>
      </c>
      <c r="G216" s="219">
        <v>5</v>
      </c>
      <c r="H216" s="219" t="s">
        <v>374</v>
      </c>
    </row>
    <row r="217" spans="2:8">
      <c r="B217" s="217">
        <v>9</v>
      </c>
      <c r="C217" s="217" t="s">
        <v>276</v>
      </c>
      <c r="D217" s="217" t="str">
        <f t="shared" si="13"/>
        <v>9泊山小学校</v>
      </c>
      <c r="E217" s="218">
        <v>1</v>
      </c>
      <c r="F217" s="219" t="s">
        <v>394</v>
      </c>
      <c r="G217" s="219">
        <f t="shared" si="11"/>
        <v>3</v>
      </c>
      <c r="H217" s="219" t="str">
        <f t="shared" si="12"/>
        <v>③校長室</v>
      </c>
    </row>
    <row r="218" spans="2:8">
      <c r="B218" s="217">
        <v>10</v>
      </c>
      <c r="C218" s="217" t="s">
        <v>276</v>
      </c>
      <c r="D218" s="217" t="str">
        <f t="shared" si="13"/>
        <v>10泊山小学校</v>
      </c>
      <c r="E218" s="218">
        <v>1</v>
      </c>
      <c r="F218" s="219" t="s">
        <v>395</v>
      </c>
      <c r="G218" s="219">
        <f t="shared" si="11"/>
        <v>2</v>
      </c>
      <c r="H218" s="219" t="str">
        <f t="shared" si="12"/>
        <v>②職員室</v>
      </c>
    </row>
    <row r="219" spans="2:8">
      <c r="B219" s="217">
        <v>11</v>
      </c>
      <c r="C219" s="217" t="s">
        <v>276</v>
      </c>
      <c r="D219" s="217" t="str">
        <f t="shared" si="13"/>
        <v>11泊山小学校</v>
      </c>
      <c r="E219" s="218">
        <v>1</v>
      </c>
      <c r="F219" s="219" t="s">
        <v>400</v>
      </c>
      <c r="G219" s="219">
        <f t="shared" ref="G219:G258" si="14">IF(F219="校長室",$L$5,IF(F219="職員室",$L$4,IF(F219="保健室",$L$6,IF(F219="相談室",$L$7,IF(F219="会議室",$L$8,"")))))</f>
        <v>4</v>
      </c>
      <c r="H219" s="219" t="str">
        <f t="shared" ref="H219:H258" si="15">IF(F219="校長室",$M$5,IF(F219="職員室",$M$4,IF(F219="保健室",$M$6,IF(F219="相談室",$M$7,IF(F219="会議室",$M$8,"")))))</f>
        <v>④保健室</v>
      </c>
    </row>
    <row r="220" spans="2:8">
      <c r="B220" s="217">
        <v>12</v>
      </c>
      <c r="C220" s="217" t="s">
        <v>276</v>
      </c>
      <c r="D220" s="217" t="str">
        <f t="shared" si="13"/>
        <v>12泊山小学校</v>
      </c>
      <c r="E220" s="218">
        <v>1</v>
      </c>
      <c r="F220" s="219" t="s">
        <v>484</v>
      </c>
      <c r="G220" s="219">
        <v>8</v>
      </c>
      <c r="H220" s="219" t="s">
        <v>376</v>
      </c>
    </row>
    <row r="221" spans="2:8">
      <c r="B221" s="217">
        <v>13</v>
      </c>
      <c r="C221" s="217" t="s">
        <v>276</v>
      </c>
      <c r="D221" s="217" t="str">
        <f t="shared" si="13"/>
        <v>13泊山小学校</v>
      </c>
      <c r="E221" s="218">
        <v>3</v>
      </c>
      <c r="F221" s="219" t="s">
        <v>406</v>
      </c>
      <c r="G221" s="219">
        <v>8</v>
      </c>
      <c r="H221" s="219" t="s">
        <v>376</v>
      </c>
    </row>
    <row r="222" spans="2:8">
      <c r="B222" s="217">
        <v>1</v>
      </c>
      <c r="C222" s="217" t="s">
        <v>277</v>
      </c>
      <c r="D222" s="217" t="str">
        <f t="shared" si="13"/>
        <v>1笹川小学校</v>
      </c>
      <c r="E222" s="218">
        <v>1</v>
      </c>
      <c r="F222" s="219" t="s">
        <v>394</v>
      </c>
      <c r="G222" s="219">
        <f t="shared" si="14"/>
        <v>3</v>
      </c>
      <c r="H222" s="219" t="str">
        <f t="shared" si="15"/>
        <v>③校長室</v>
      </c>
    </row>
    <row r="223" spans="2:8">
      <c r="B223" s="217">
        <v>2</v>
      </c>
      <c r="C223" s="217" t="s">
        <v>277</v>
      </c>
      <c r="D223" s="217" t="str">
        <f t="shared" si="13"/>
        <v>2笹川小学校</v>
      </c>
      <c r="E223" s="218">
        <v>1</v>
      </c>
      <c r="F223" s="219" t="s">
        <v>395</v>
      </c>
      <c r="G223" s="219">
        <f t="shared" si="14"/>
        <v>2</v>
      </c>
      <c r="H223" s="219" t="str">
        <f t="shared" si="15"/>
        <v>②職員室</v>
      </c>
    </row>
    <row r="224" spans="2:8">
      <c r="B224" s="217">
        <v>3</v>
      </c>
      <c r="C224" s="217" t="s">
        <v>277</v>
      </c>
      <c r="D224" s="217" t="str">
        <f t="shared" si="13"/>
        <v>3笹川小学校</v>
      </c>
      <c r="E224" s="218">
        <v>3</v>
      </c>
      <c r="F224" s="219" t="s">
        <v>424</v>
      </c>
      <c r="G224" s="219">
        <v>8</v>
      </c>
      <c r="H224" s="219" t="s">
        <v>376</v>
      </c>
    </row>
    <row r="225" spans="2:8">
      <c r="B225" s="217">
        <v>4</v>
      </c>
      <c r="C225" s="217" t="s">
        <v>277</v>
      </c>
      <c r="D225" s="217" t="str">
        <f t="shared" si="13"/>
        <v>4笹川小学校</v>
      </c>
      <c r="E225" s="218">
        <v>1</v>
      </c>
      <c r="F225" s="219" t="s">
        <v>485</v>
      </c>
      <c r="G225" s="219">
        <v>7</v>
      </c>
      <c r="H225" s="219" t="s">
        <v>375</v>
      </c>
    </row>
    <row r="226" spans="2:8">
      <c r="B226" s="217">
        <v>5</v>
      </c>
      <c r="C226" s="217" t="s">
        <v>277</v>
      </c>
      <c r="D226" s="217" t="str">
        <f t="shared" si="13"/>
        <v>5笹川小学校</v>
      </c>
      <c r="E226" s="218">
        <v>1</v>
      </c>
      <c r="F226" s="219" t="s">
        <v>400</v>
      </c>
      <c r="G226" s="219">
        <f t="shared" si="14"/>
        <v>4</v>
      </c>
      <c r="H226" s="219" t="str">
        <f t="shared" si="15"/>
        <v>④保健室</v>
      </c>
    </row>
    <row r="227" spans="2:8">
      <c r="B227" s="217">
        <v>6</v>
      </c>
      <c r="C227" s="217" t="s">
        <v>277</v>
      </c>
      <c r="D227" s="217" t="str">
        <f t="shared" si="13"/>
        <v>6笹川小学校</v>
      </c>
      <c r="E227" s="218">
        <v>1</v>
      </c>
      <c r="F227" s="219" t="s">
        <v>399</v>
      </c>
      <c r="G227" s="219">
        <f t="shared" si="14"/>
        <v>5</v>
      </c>
      <c r="H227" s="219" t="str">
        <f t="shared" si="15"/>
        <v>⑤相談室</v>
      </c>
    </row>
    <row r="228" spans="2:8">
      <c r="B228" s="217">
        <v>7</v>
      </c>
      <c r="C228" s="217" t="s">
        <v>277</v>
      </c>
      <c r="D228" s="217" t="str">
        <f t="shared" si="13"/>
        <v>7笹川小学校</v>
      </c>
      <c r="E228" s="218">
        <v>3</v>
      </c>
      <c r="F228" s="219" t="s">
        <v>424</v>
      </c>
      <c r="G228" s="219">
        <v>8</v>
      </c>
      <c r="H228" s="219" t="s">
        <v>376</v>
      </c>
    </row>
    <row r="229" spans="2:8">
      <c r="B229" s="217">
        <v>8</v>
      </c>
      <c r="C229" s="217" t="s">
        <v>277</v>
      </c>
      <c r="D229" s="217" t="str">
        <f t="shared" si="13"/>
        <v>8笹川小学校</v>
      </c>
      <c r="E229" s="218">
        <v>1</v>
      </c>
      <c r="F229" s="219" t="s">
        <v>486</v>
      </c>
      <c r="G229" s="219">
        <v>5</v>
      </c>
      <c r="H229" s="219" t="s">
        <v>374</v>
      </c>
    </row>
    <row r="230" spans="2:8">
      <c r="B230" s="217">
        <v>9</v>
      </c>
      <c r="C230" s="217" t="s">
        <v>277</v>
      </c>
      <c r="D230" s="217" t="str">
        <f t="shared" si="13"/>
        <v>9笹川小学校</v>
      </c>
      <c r="E230" s="218">
        <v>2</v>
      </c>
      <c r="F230" s="219" t="s">
        <v>487</v>
      </c>
      <c r="G230" s="219">
        <v>8</v>
      </c>
      <c r="H230" s="219" t="s">
        <v>376</v>
      </c>
    </row>
    <row r="231" spans="2:8">
      <c r="B231" s="217">
        <v>10</v>
      </c>
      <c r="C231" s="217" t="s">
        <v>277</v>
      </c>
      <c r="D231" s="217" t="str">
        <f t="shared" si="13"/>
        <v>10笹川小学校</v>
      </c>
      <c r="E231" s="218">
        <v>2</v>
      </c>
      <c r="F231" s="219" t="s">
        <v>488</v>
      </c>
      <c r="G231" s="219">
        <v>8</v>
      </c>
      <c r="H231" s="219" t="s">
        <v>376</v>
      </c>
    </row>
    <row r="232" spans="2:8">
      <c r="B232" s="217">
        <v>1</v>
      </c>
      <c r="C232" s="217" t="s">
        <v>278</v>
      </c>
      <c r="D232" s="217" t="str">
        <f t="shared" ref="D232:D273" si="16">B232&amp;C232</f>
        <v>1常磐西小学校</v>
      </c>
      <c r="E232" s="218">
        <v>1</v>
      </c>
      <c r="F232" s="219" t="s">
        <v>394</v>
      </c>
      <c r="G232" s="219">
        <f t="shared" si="14"/>
        <v>3</v>
      </c>
      <c r="H232" s="219" t="str">
        <f t="shared" si="15"/>
        <v>③校長室</v>
      </c>
    </row>
    <row r="233" spans="2:8">
      <c r="B233" s="217">
        <v>2</v>
      </c>
      <c r="C233" s="217" t="s">
        <v>278</v>
      </c>
      <c r="D233" s="217" t="str">
        <f t="shared" si="16"/>
        <v>2常磐西小学校</v>
      </c>
      <c r="E233" s="218">
        <v>1</v>
      </c>
      <c r="F233" s="219" t="s">
        <v>395</v>
      </c>
      <c r="G233" s="219">
        <f t="shared" si="14"/>
        <v>2</v>
      </c>
      <c r="H233" s="219" t="str">
        <f t="shared" si="15"/>
        <v>②職員室</v>
      </c>
    </row>
    <row r="234" spans="2:8">
      <c r="B234" s="217">
        <v>3</v>
      </c>
      <c r="C234" s="217" t="s">
        <v>278</v>
      </c>
      <c r="D234" s="217" t="str">
        <f t="shared" si="16"/>
        <v>3常磐西小学校</v>
      </c>
      <c r="E234" s="218">
        <v>1</v>
      </c>
      <c r="F234" s="219" t="s">
        <v>399</v>
      </c>
      <c r="G234" s="219">
        <f t="shared" si="14"/>
        <v>5</v>
      </c>
      <c r="H234" s="219" t="str">
        <f t="shared" si="15"/>
        <v>⑤相談室</v>
      </c>
    </row>
    <row r="235" spans="2:8">
      <c r="B235" s="217">
        <v>4</v>
      </c>
      <c r="C235" s="217" t="s">
        <v>278</v>
      </c>
      <c r="D235" s="217" t="str">
        <f t="shared" si="16"/>
        <v>4常磐西小学校</v>
      </c>
      <c r="E235" s="218">
        <v>3</v>
      </c>
      <c r="F235" s="219" t="s">
        <v>429</v>
      </c>
      <c r="G235" s="219">
        <f t="shared" si="14"/>
        <v>6</v>
      </c>
      <c r="H235" s="219" t="str">
        <f t="shared" si="15"/>
        <v>⑥会議室</v>
      </c>
    </row>
    <row r="236" spans="2:8">
      <c r="B236" s="217">
        <v>5</v>
      </c>
      <c r="C236" s="217" t="s">
        <v>278</v>
      </c>
      <c r="D236" s="217" t="str">
        <f t="shared" si="16"/>
        <v>5常磐西小学校</v>
      </c>
      <c r="E236" s="218">
        <v>2</v>
      </c>
      <c r="F236" s="219" t="s">
        <v>489</v>
      </c>
      <c r="G236" s="219">
        <v>5</v>
      </c>
      <c r="H236" s="219" t="s">
        <v>374</v>
      </c>
    </row>
    <row r="237" spans="2:8">
      <c r="B237" s="217">
        <v>6</v>
      </c>
      <c r="C237" s="217" t="s">
        <v>278</v>
      </c>
      <c r="D237" s="217" t="str">
        <f t="shared" si="16"/>
        <v>6常磐西小学校</v>
      </c>
      <c r="E237" s="218">
        <v>3</v>
      </c>
      <c r="F237" s="219" t="s">
        <v>490</v>
      </c>
      <c r="G237" s="219">
        <v>8</v>
      </c>
      <c r="H237" s="219" t="s">
        <v>376</v>
      </c>
    </row>
    <row r="238" spans="2:8">
      <c r="B238" s="217">
        <v>7</v>
      </c>
      <c r="C238" s="217" t="s">
        <v>278</v>
      </c>
      <c r="D238" s="217" t="str">
        <f t="shared" si="16"/>
        <v>7常磐西小学校</v>
      </c>
      <c r="E238" s="218">
        <v>3</v>
      </c>
      <c r="F238" s="219" t="s">
        <v>491</v>
      </c>
      <c r="G238" s="219">
        <v>8</v>
      </c>
      <c r="H238" s="219" t="s">
        <v>376</v>
      </c>
    </row>
    <row r="239" spans="2:8">
      <c r="B239" s="217">
        <v>8</v>
      </c>
      <c r="C239" s="217" t="s">
        <v>278</v>
      </c>
      <c r="D239" s="217" t="str">
        <f t="shared" si="16"/>
        <v>8常磐西小学校</v>
      </c>
      <c r="E239" s="218">
        <v>1</v>
      </c>
      <c r="F239" s="219" t="s">
        <v>400</v>
      </c>
      <c r="G239" s="219">
        <f t="shared" si="14"/>
        <v>4</v>
      </c>
      <c r="H239" s="219" t="str">
        <f t="shared" si="15"/>
        <v>④保健室</v>
      </c>
    </row>
    <row r="240" spans="2:8">
      <c r="B240" s="217">
        <v>1</v>
      </c>
      <c r="C240" s="217" t="s">
        <v>279</v>
      </c>
      <c r="D240" s="217" t="str">
        <f t="shared" si="16"/>
        <v>1三重西小学校</v>
      </c>
      <c r="E240" s="218">
        <v>1</v>
      </c>
      <c r="F240" s="219" t="s">
        <v>394</v>
      </c>
      <c r="G240" s="219">
        <f t="shared" si="14"/>
        <v>3</v>
      </c>
      <c r="H240" s="219" t="str">
        <f t="shared" si="15"/>
        <v>③校長室</v>
      </c>
    </row>
    <row r="241" spans="2:8">
      <c r="B241" s="217">
        <v>2</v>
      </c>
      <c r="C241" s="217" t="s">
        <v>279</v>
      </c>
      <c r="D241" s="217" t="str">
        <f t="shared" si="16"/>
        <v>2三重西小学校</v>
      </c>
      <c r="E241" s="218">
        <v>1</v>
      </c>
      <c r="F241" s="219" t="s">
        <v>395</v>
      </c>
      <c r="G241" s="219">
        <f t="shared" si="14"/>
        <v>2</v>
      </c>
      <c r="H241" s="219" t="str">
        <f t="shared" si="15"/>
        <v>②職員室</v>
      </c>
    </row>
    <row r="242" spans="2:8">
      <c r="B242" s="217">
        <v>3</v>
      </c>
      <c r="C242" s="217" t="s">
        <v>279</v>
      </c>
      <c r="D242" s="217" t="str">
        <f t="shared" si="16"/>
        <v>3三重西小学校</v>
      </c>
      <c r="E242" s="218">
        <v>1</v>
      </c>
      <c r="F242" s="219" t="s">
        <v>429</v>
      </c>
      <c r="G242" s="219">
        <f t="shared" si="14"/>
        <v>6</v>
      </c>
      <c r="H242" s="219" t="str">
        <f t="shared" si="15"/>
        <v>⑥会議室</v>
      </c>
    </row>
    <row r="243" spans="2:8">
      <c r="B243" s="217">
        <v>4</v>
      </c>
      <c r="C243" s="217" t="s">
        <v>279</v>
      </c>
      <c r="D243" s="217" t="str">
        <f t="shared" si="16"/>
        <v>4三重西小学校</v>
      </c>
      <c r="E243" s="218">
        <v>2</v>
      </c>
      <c r="F243" s="219" t="s">
        <v>492</v>
      </c>
      <c r="G243" s="219">
        <v>5</v>
      </c>
      <c r="H243" s="219" t="s">
        <v>374</v>
      </c>
    </row>
    <row r="244" spans="2:8">
      <c r="B244" s="217">
        <v>5</v>
      </c>
      <c r="C244" s="217" t="s">
        <v>279</v>
      </c>
      <c r="D244" s="217" t="str">
        <f t="shared" si="16"/>
        <v>5三重西小学校</v>
      </c>
      <c r="E244" s="218">
        <v>3</v>
      </c>
      <c r="F244" s="219" t="s">
        <v>493</v>
      </c>
      <c r="G244" s="219">
        <v>5</v>
      </c>
      <c r="H244" s="219" t="s">
        <v>374</v>
      </c>
    </row>
    <row r="245" spans="2:8">
      <c r="B245" s="217">
        <v>6</v>
      </c>
      <c r="C245" s="217" t="s">
        <v>279</v>
      </c>
      <c r="D245" s="217" t="str">
        <f t="shared" si="16"/>
        <v>6三重西小学校</v>
      </c>
      <c r="E245" s="218">
        <v>1</v>
      </c>
      <c r="F245" s="219" t="s">
        <v>400</v>
      </c>
      <c r="G245" s="219">
        <f t="shared" si="14"/>
        <v>4</v>
      </c>
      <c r="H245" s="219" t="str">
        <f t="shared" si="15"/>
        <v>④保健室</v>
      </c>
    </row>
    <row r="246" spans="2:8">
      <c r="B246" s="217">
        <v>7</v>
      </c>
      <c r="C246" s="217" t="s">
        <v>279</v>
      </c>
      <c r="D246" s="217" t="str">
        <f t="shared" si="16"/>
        <v>7三重西小学校</v>
      </c>
      <c r="E246" s="218">
        <v>2</v>
      </c>
      <c r="F246" s="219" t="s">
        <v>462</v>
      </c>
      <c r="G246" s="219">
        <v>8</v>
      </c>
      <c r="H246" s="219" t="s">
        <v>376</v>
      </c>
    </row>
    <row r="247" spans="2:8">
      <c r="B247" s="217">
        <v>8</v>
      </c>
      <c r="C247" s="217" t="s">
        <v>279</v>
      </c>
      <c r="D247" s="217" t="str">
        <f t="shared" si="16"/>
        <v>8三重西小学校</v>
      </c>
      <c r="E247" s="218">
        <v>1</v>
      </c>
      <c r="F247" s="219" t="s">
        <v>494</v>
      </c>
      <c r="G247" s="219">
        <v>8</v>
      </c>
      <c r="H247" s="219" t="s">
        <v>376</v>
      </c>
    </row>
    <row r="248" spans="2:8">
      <c r="B248" s="217">
        <v>9</v>
      </c>
      <c r="C248" s="217" t="s">
        <v>279</v>
      </c>
      <c r="D248" s="217" t="str">
        <f t="shared" si="16"/>
        <v>9三重西小学校</v>
      </c>
      <c r="E248" s="218">
        <v>2</v>
      </c>
      <c r="F248" s="219" t="s">
        <v>495</v>
      </c>
      <c r="G248" s="219">
        <v>6</v>
      </c>
      <c r="H248" s="219" t="s">
        <v>373</v>
      </c>
    </row>
    <row r="249" spans="2:8">
      <c r="B249" s="217">
        <v>10</v>
      </c>
      <c r="C249" s="217" t="s">
        <v>279</v>
      </c>
      <c r="D249" s="217" t="str">
        <f t="shared" si="16"/>
        <v>10三重西小学校</v>
      </c>
      <c r="E249" s="218">
        <v>1</v>
      </c>
      <c r="F249" s="219" t="s">
        <v>496</v>
      </c>
      <c r="G249" s="219">
        <v>7</v>
      </c>
      <c r="H249" s="219" t="s">
        <v>375</v>
      </c>
    </row>
    <row r="250" spans="2:8">
      <c r="B250" s="217">
        <v>1</v>
      </c>
      <c r="C250" s="217" t="s">
        <v>280</v>
      </c>
      <c r="D250" s="217" t="str">
        <f t="shared" si="16"/>
        <v>1大谷台小学校</v>
      </c>
      <c r="E250" s="218">
        <v>1</v>
      </c>
      <c r="F250" s="219" t="s">
        <v>394</v>
      </c>
      <c r="G250" s="219">
        <f t="shared" si="14"/>
        <v>3</v>
      </c>
      <c r="H250" s="219" t="str">
        <f t="shared" si="15"/>
        <v>③校長室</v>
      </c>
    </row>
    <row r="251" spans="2:8">
      <c r="B251" s="217">
        <v>2</v>
      </c>
      <c r="C251" s="217" t="s">
        <v>280</v>
      </c>
      <c r="D251" s="217" t="str">
        <f t="shared" si="16"/>
        <v>2大谷台小学校</v>
      </c>
      <c r="E251" s="218">
        <v>1</v>
      </c>
      <c r="F251" s="219" t="s">
        <v>395</v>
      </c>
      <c r="G251" s="219">
        <f t="shared" si="14"/>
        <v>2</v>
      </c>
      <c r="H251" s="219" t="str">
        <f t="shared" si="15"/>
        <v>②職員室</v>
      </c>
    </row>
    <row r="252" spans="2:8">
      <c r="B252" s="217">
        <v>3</v>
      </c>
      <c r="C252" s="217" t="s">
        <v>280</v>
      </c>
      <c r="D252" s="217" t="str">
        <f t="shared" si="16"/>
        <v>3大谷台小学校</v>
      </c>
      <c r="E252" s="218">
        <v>2</v>
      </c>
      <c r="F252" s="219" t="s">
        <v>429</v>
      </c>
      <c r="G252" s="219">
        <f t="shared" si="14"/>
        <v>6</v>
      </c>
      <c r="H252" s="219" t="str">
        <f t="shared" si="15"/>
        <v>⑥会議室</v>
      </c>
    </row>
    <row r="253" spans="2:8">
      <c r="B253" s="217">
        <v>4</v>
      </c>
      <c r="C253" s="217" t="s">
        <v>280</v>
      </c>
      <c r="D253" s="217" t="str">
        <f t="shared" si="16"/>
        <v>4大谷台小学校</v>
      </c>
      <c r="E253" s="218">
        <v>1</v>
      </c>
      <c r="F253" s="219" t="s">
        <v>400</v>
      </c>
      <c r="G253" s="219">
        <f t="shared" si="14"/>
        <v>4</v>
      </c>
      <c r="H253" s="219" t="str">
        <f t="shared" si="15"/>
        <v>④保健室</v>
      </c>
    </row>
    <row r="254" spans="2:8">
      <c r="B254" s="217">
        <v>5</v>
      </c>
      <c r="C254" s="217" t="s">
        <v>280</v>
      </c>
      <c r="D254" s="217" t="str">
        <f t="shared" si="16"/>
        <v>5大谷台小学校</v>
      </c>
      <c r="E254" s="218">
        <v>1</v>
      </c>
      <c r="F254" s="219" t="s">
        <v>497</v>
      </c>
      <c r="G254" s="219">
        <v>8</v>
      </c>
      <c r="H254" s="219" t="s">
        <v>376</v>
      </c>
    </row>
    <row r="255" spans="2:8">
      <c r="B255" s="217">
        <v>6</v>
      </c>
      <c r="C255" s="217" t="s">
        <v>280</v>
      </c>
      <c r="D255" s="217" t="str">
        <f t="shared" si="16"/>
        <v>6大谷台小学校</v>
      </c>
      <c r="E255" s="218">
        <v>2</v>
      </c>
      <c r="F255" s="219" t="s">
        <v>498</v>
      </c>
      <c r="G255" s="219">
        <v>8</v>
      </c>
      <c r="H255" s="219" t="s">
        <v>376</v>
      </c>
    </row>
    <row r="256" spans="2:8">
      <c r="B256" s="217">
        <v>7</v>
      </c>
      <c r="C256" s="217" t="s">
        <v>280</v>
      </c>
      <c r="D256" s="217" t="str">
        <f t="shared" si="16"/>
        <v>7大谷台小学校</v>
      </c>
      <c r="E256" s="218">
        <v>3</v>
      </c>
      <c r="F256" s="219" t="s">
        <v>399</v>
      </c>
      <c r="G256" s="219">
        <f t="shared" si="14"/>
        <v>5</v>
      </c>
      <c r="H256" s="219" t="str">
        <f t="shared" si="15"/>
        <v>⑤相談室</v>
      </c>
    </row>
    <row r="257" spans="2:8">
      <c r="B257" s="217">
        <v>8</v>
      </c>
      <c r="C257" s="217" t="s">
        <v>280</v>
      </c>
      <c r="D257" s="217" t="str">
        <f t="shared" si="16"/>
        <v>8大谷台小学校</v>
      </c>
      <c r="E257" s="218">
        <v>2</v>
      </c>
      <c r="F257" s="219" t="s">
        <v>406</v>
      </c>
      <c r="G257" s="219">
        <v>8</v>
      </c>
      <c r="H257" s="219" t="s">
        <v>376</v>
      </c>
    </row>
    <row r="258" spans="2:8">
      <c r="B258" s="217">
        <v>9</v>
      </c>
      <c r="C258" s="217" t="s">
        <v>280</v>
      </c>
      <c r="D258" s="217" t="str">
        <f t="shared" si="16"/>
        <v>9大谷台小学校</v>
      </c>
      <c r="E258" s="218">
        <v>1</v>
      </c>
      <c r="F258" s="219" t="s">
        <v>429</v>
      </c>
      <c r="G258" s="219">
        <f t="shared" si="14"/>
        <v>6</v>
      </c>
      <c r="H258" s="219" t="str">
        <f t="shared" si="15"/>
        <v>⑥会議室</v>
      </c>
    </row>
    <row r="259" spans="2:8">
      <c r="B259" s="217">
        <v>10</v>
      </c>
      <c r="C259" s="217" t="s">
        <v>280</v>
      </c>
      <c r="D259" s="217" t="str">
        <f t="shared" si="16"/>
        <v>10大谷台小学校</v>
      </c>
      <c r="E259" s="218">
        <v>1</v>
      </c>
      <c r="F259" s="219" t="s">
        <v>499</v>
      </c>
      <c r="G259" s="219">
        <v>6</v>
      </c>
      <c r="H259" s="219" t="s">
        <v>373</v>
      </c>
    </row>
    <row r="260" spans="2:8">
      <c r="B260" s="217">
        <v>11</v>
      </c>
      <c r="C260" s="217" t="s">
        <v>280</v>
      </c>
      <c r="D260" s="217" t="str">
        <f t="shared" si="16"/>
        <v>11大谷台小学校</v>
      </c>
      <c r="E260" s="218">
        <v>1</v>
      </c>
      <c r="F260" s="219" t="s">
        <v>500</v>
      </c>
      <c r="G260" s="219">
        <v>6</v>
      </c>
      <c r="H260" s="219" t="s">
        <v>373</v>
      </c>
    </row>
    <row r="261" spans="2:8">
      <c r="B261" s="217">
        <v>1</v>
      </c>
      <c r="C261" s="217" t="s">
        <v>281</v>
      </c>
      <c r="D261" s="217" t="str">
        <f t="shared" si="16"/>
        <v>1桜台小学校</v>
      </c>
      <c r="E261" s="218">
        <v>1</v>
      </c>
      <c r="F261" s="219" t="s">
        <v>394</v>
      </c>
      <c r="G261" s="219">
        <f t="shared" ref="G261:G298" si="17">IF(F261="校長室",$L$5,IF(F261="職員室",$L$4,IF(F261="保健室",$L$6,IF(F261="相談室",$L$7,IF(F261="会議室",$L$8,"")))))</f>
        <v>3</v>
      </c>
      <c r="H261" s="219" t="str">
        <f t="shared" ref="H261:H298" si="18">IF(F261="校長室",$M$5,IF(F261="職員室",$M$4,IF(F261="保健室",$M$6,IF(F261="相談室",$M$7,IF(F261="会議室",$M$8,"")))))</f>
        <v>③校長室</v>
      </c>
    </row>
    <row r="262" spans="2:8">
      <c r="B262" s="217">
        <v>2</v>
      </c>
      <c r="C262" s="217" t="s">
        <v>281</v>
      </c>
      <c r="D262" s="217" t="str">
        <f t="shared" si="16"/>
        <v>2桜台小学校</v>
      </c>
      <c r="E262" s="218">
        <v>1</v>
      </c>
      <c r="F262" s="219" t="s">
        <v>395</v>
      </c>
      <c r="G262" s="219">
        <f t="shared" si="17"/>
        <v>2</v>
      </c>
      <c r="H262" s="219" t="str">
        <f t="shared" si="18"/>
        <v>②職員室</v>
      </c>
    </row>
    <row r="263" spans="2:8">
      <c r="B263" s="217">
        <v>3</v>
      </c>
      <c r="C263" s="217" t="s">
        <v>281</v>
      </c>
      <c r="D263" s="217" t="str">
        <f t="shared" si="16"/>
        <v>3桜台小学校</v>
      </c>
      <c r="E263" s="218">
        <v>1</v>
      </c>
      <c r="F263" s="219" t="s">
        <v>501</v>
      </c>
      <c r="G263" s="219">
        <v>5</v>
      </c>
      <c r="H263" s="219" t="s">
        <v>374</v>
      </c>
    </row>
    <row r="264" spans="2:8">
      <c r="B264" s="217">
        <v>4</v>
      </c>
      <c r="C264" s="217" t="s">
        <v>281</v>
      </c>
      <c r="D264" s="217" t="str">
        <f t="shared" si="16"/>
        <v>4桜台小学校</v>
      </c>
      <c r="E264" s="218">
        <v>1</v>
      </c>
      <c r="F264" s="219" t="s">
        <v>399</v>
      </c>
      <c r="G264" s="219">
        <f t="shared" si="17"/>
        <v>5</v>
      </c>
      <c r="H264" s="219" t="str">
        <f t="shared" si="18"/>
        <v>⑤相談室</v>
      </c>
    </row>
    <row r="265" spans="2:8">
      <c r="B265" s="217">
        <v>5</v>
      </c>
      <c r="C265" s="217" t="s">
        <v>281</v>
      </c>
      <c r="D265" s="217" t="str">
        <f t="shared" si="16"/>
        <v>5桜台小学校</v>
      </c>
      <c r="E265" s="218">
        <v>1</v>
      </c>
      <c r="F265" s="219" t="s">
        <v>400</v>
      </c>
      <c r="G265" s="219">
        <f t="shared" si="17"/>
        <v>4</v>
      </c>
      <c r="H265" s="219" t="str">
        <f t="shared" si="18"/>
        <v>④保健室</v>
      </c>
    </row>
    <row r="266" spans="2:8">
      <c r="B266" s="217">
        <v>6</v>
      </c>
      <c r="C266" s="217" t="s">
        <v>281</v>
      </c>
      <c r="D266" s="217" t="str">
        <f t="shared" si="16"/>
        <v>6桜台小学校</v>
      </c>
      <c r="E266" s="218">
        <v>1</v>
      </c>
      <c r="F266" s="219" t="s">
        <v>502</v>
      </c>
      <c r="G266" s="219">
        <v>6</v>
      </c>
      <c r="H266" s="219" t="s">
        <v>373</v>
      </c>
    </row>
    <row r="267" spans="2:8">
      <c r="B267" s="217">
        <v>7</v>
      </c>
      <c r="C267" s="217" t="s">
        <v>281</v>
      </c>
      <c r="D267" s="217" t="str">
        <f t="shared" si="16"/>
        <v>7桜台小学校</v>
      </c>
      <c r="E267" s="218">
        <v>1</v>
      </c>
      <c r="F267" s="219" t="s">
        <v>503</v>
      </c>
      <c r="G267" s="219">
        <v>6</v>
      </c>
      <c r="H267" s="219" t="s">
        <v>373</v>
      </c>
    </row>
    <row r="268" spans="2:8">
      <c r="B268" s="217">
        <v>8</v>
      </c>
      <c r="C268" s="217" t="s">
        <v>281</v>
      </c>
      <c r="D268" s="217" t="str">
        <f t="shared" si="16"/>
        <v>8桜台小学校</v>
      </c>
      <c r="E268" s="218">
        <v>1</v>
      </c>
      <c r="F268" s="219" t="s">
        <v>504</v>
      </c>
      <c r="G268" s="219">
        <v>8</v>
      </c>
      <c r="H268" s="219" t="s">
        <v>376</v>
      </c>
    </row>
    <row r="269" spans="2:8">
      <c r="B269" s="217">
        <v>9</v>
      </c>
      <c r="C269" s="217" t="s">
        <v>281</v>
      </c>
      <c r="D269" s="217" t="str">
        <f t="shared" si="16"/>
        <v>9桜台小学校</v>
      </c>
      <c r="E269" s="218">
        <v>2</v>
      </c>
      <c r="F269" s="219" t="s">
        <v>406</v>
      </c>
      <c r="G269" s="219">
        <v>8</v>
      </c>
      <c r="H269" s="219" t="s">
        <v>376</v>
      </c>
    </row>
    <row r="270" spans="2:8">
      <c r="B270" s="217">
        <v>1</v>
      </c>
      <c r="C270" s="217" t="s">
        <v>282</v>
      </c>
      <c r="D270" s="217" t="str">
        <f t="shared" si="16"/>
        <v>1三重北小学校</v>
      </c>
      <c r="E270" s="218">
        <v>1</v>
      </c>
      <c r="F270" s="219" t="s">
        <v>394</v>
      </c>
      <c r="G270" s="219">
        <f t="shared" si="17"/>
        <v>3</v>
      </c>
      <c r="H270" s="219" t="str">
        <f t="shared" si="18"/>
        <v>③校長室</v>
      </c>
    </row>
    <row r="271" spans="2:8">
      <c r="B271" s="217">
        <v>2</v>
      </c>
      <c r="C271" s="217" t="s">
        <v>282</v>
      </c>
      <c r="D271" s="217" t="str">
        <f t="shared" si="16"/>
        <v>2三重北小学校</v>
      </c>
      <c r="E271" s="218">
        <v>1</v>
      </c>
      <c r="F271" s="219" t="s">
        <v>395</v>
      </c>
      <c r="G271" s="219">
        <f t="shared" si="17"/>
        <v>2</v>
      </c>
      <c r="H271" s="219" t="str">
        <f t="shared" si="18"/>
        <v>②職員室</v>
      </c>
    </row>
    <row r="272" spans="2:8">
      <c r="B272" s="217">
        <v>3</v>
      </c>
      <c r="C272" s="217" t="s">
        <v>282</v>
      </c>
      <c r="D272" s="217" t="str">
        <f t="shared" si="16"/>
        <v>3三重北小学校</v>
      </c>
      <c r="E272" s="218">
        <v>1</v>
      </c>
      <c r="F272" s="219" t="s">
        <v>400</v>
      </c>
      <c r="G272" s="219">
        <f t="shared" si="17"/>
        <v>4</v>
      </c>
      <c r="H272" s="219" t="str">
        <f t="shared" si="18"/>
        <v>④保健室</v>
      </c>
    </row>
    <row r="273" spans="2:8">
      <c r="B273" s="217">
        <v>4</v>
      </c>
      <c r="C273" s="217" t="s">
        <v>282</v>
      </c>
      <c r="D273" s="217" t="str">
        <f t="shared" si="16"/>
        <v>4三重北小学校</v>
      </c>
      <c r="E273" s="218">
        <v>1</v>
      </c>
      <c r="F273" s="219" t="s">
        <v>505</v>
      </c>
      <c r="G273" s="219">
        <v>7</v>
      </c>
      <c r="H273" s="219" t="s">
        <v>375</v>
      </c>
    </row>
    <row r="274" spans="2:8">
      <c r="B274" s="217">
        <v>5</v>
      </c>
      <c r="C274" s="217" t="s">
        <v>282</v>
      </c>
      <c r="D274" s="217" t="str">
        <f t="shared" ref="D274:D318" si="19">B274&amp;C274</f>
        <v>5三重北小学校</v>
      </c>
      <c r="E274" s="218">
        <v>1</v>
      </c>
      <c r="F274" s="219" t="s">
        <v>506</v>
      </c>
      <c r="G274" s="219">
        <v>8</v>
      </c>
      <c r="H274" s="219" t="s">
        <v>376</v>
      </c>
    </row>
    <row r="275" spans="2:8">
      <c r="B275" s="217">
        <v>6</v>
      </c>
      <c r="C275" s="217" t="s">
        <v>282</v>
      </c>
      <c r="D275" s="217" t="str">
        <f t="shared" si="19"/>
        <v>6三重北小学校</v>
      </c>
      <c r="E275" s="218">
        <v>1</v>
      </c>
      <c r="F275" s="219" t="s">
        <v>416</v>
      </c>
      <c r="G275" s="219">
        <v>8</v>
      </c>
      <c r="H275" s="219" t="s">
        <v>376</v>
      </c>
    </row>
    <row r="276" spans="2:8">
      <c r="B276" s="217">
        <v>7</v>
      </c>
      <c r="C276" s="217" t="s">
        <v>282</v>
      </c>
      <c r="D276" s="217" t="str">
        <f t="shared" si="19"/>
        <v>7三重北小学校</v>
      </c>
      <c r="E276" s="218">
        <v>1</v>
      </c>
      <c r="F276" s="219" t="s">
        <v>507</v>
      </c>
      <c r="G276" s="219">
        <v>8</v>
      </c>
      <c r="H276" s="219" t="s">
        <v>376</v>
      </c>
    </row>
    <row r="277" spans="2:8">
      <c r="B277" s="217">
        <v>8</v>
      </c>
      <c r="C277" s="217" t="s">
        <v>282</v>
      </c>
      <c r="D277" s="217" t="str">
        <f t="shared" si="19"/>
        <v>8三重北小学校</v>
      </c>
      <c r="E277" s="218">
        <v>2</v>
      </c>
      <c r="F277" s="219" t="s">
        <v>462</v>
      </c>
      <c r="G277" s="219">
        <v>8</v>
      </c>
      <c r="H277" s="219" t="s">
        <v>376</v>
      </c>
    </row>
    <row r="278" spans="2:8">
      <c r="B278" s="217">
        <v>1</v>
      </c>
      <c r="C278" s="217" t="s">
        <v>283</v>
      </c>
      <c r="D278" s="217" t="str">
        <f t="shared" si="19"/>
        <v>1八郷西小学校</v>
      </c>
      <c r="E278" s="218">
        <v>1</v>
      </c>
      <c r="F278" s="219" t="s">
        <v>394</v>
      </c>
      <c r="G278" s="219">
        <f t="shared" si="17"/>
        <v>3</v>
      </c>
      <c r="H278" s="219" t="str">
        <f t="shared" si="18"/>
        <v>③校長室</v>
      </c>
    </row>
    <row r="279" spans="2:8">
      <c r="B279" s="217">
        <v>2</v>
      </c>
      <c r="C279" s="217" t="s">
        <v>283</v>
      </c>
      <c r="D279" s="217" t="str">
        <f t="shared" si="19"/>
        <v>2八郷西小学校</v>
      </c>
      <c r="E279" s="218">
        <v>1</v>
      </c>
      <c r="F279" s="219" t="s">
        <v>395</v>
      </c>
      <c r="G279" s="219">
        <f t="shared" si="17"/>
        <v>2</v>
      </c>
      <c r="H279" s="219" t="str">
        <f t="shared" si="18"/>
        <v>②職員室</v>
      </c>
    </row>
    <row r="280" spans="2:8">
      <c r="B280" s="217">
        <v>3</v>
      </c>
      <c r="C280" s="217" t="s">
        <v>283</v>
      </c>
      <c r="D280" s="217" t="str">
        <f t="shared" si="19"/>
        <v>3八郷西小学校</v>
      </c>
      <c r="E280" s="218">
        <v>1</v>
      </c>
      <c r="F280" s="219" t="s">
        <v>429</v>
      </c>
      <c r="G280" s="219">
        <f t="shared" si="17"/>
        <v>6</v>
      </c>
      <c r="H280" s="219" t="str">
        <f t="shared" si="18"/>
        <v>⑥会議室</v>
      </c>
    </row>
    <row r="281" spans="2:8">
      <c r="B281" s="217">
        <v>4</v>
      </c>
      <c r="C281" s="217" t="s">
        <v>283</v>
      </c>
      <c r="D281" s="217" t="str">
        <f t="shared" si="19"/>
        <v>4八郷西小学校</v>
      </c>
      <c r="E281" s="218">
        <v>1</v>
      </c>
      <c r="F281" s="219" t="s">
        <v>477</v>
      </c>
      <c r="G281" s="219">
        <v>1</v>
      </c>
      <c r="H281" s="219" t="s">
        <v>421</v>
      </c>
    </row>
    <row r="282" spans="2:8">
      <c r="B282" s="217">
        <v>5</v>
      </c>
      <c r="C282" s="217" t="s">
        <v>283</v>
      </c>
      <c r="D282" s="217" t="str">
        <f t="shared" si="19"/>
        <v>5八郷西小学校</v>
      </c>
      <c r="E282" s="218">
        <v>1</v>
      </c>
      <c r="F282" s="219" t="s">
        <v>400</v>
      </c>
      <c r="G282" s="219">
        <f t="shared" si="17"/>
        <v>4</v>
      </c>
      <c r="H282" s="219" t="str">
        <f t="shared" si="18"/>
        <v>④保健室</v>
      </c>
    </row>
    <row r="283" spans="2:8">
      <c r="B283" s="217">
        <v>6</v>
      </c>
      <c r="C283" s="217" t="s">
        <v>283</v>
      </c>
      <c r="D283" s="217" t="str">
        <f t="shared" si="19"/>
        <v>6八郷西小学校</v>
      </c>
      <c r="E283" s="218">
        <v>1</v>
      </c>
      <c r="F283" s="219" t="s">
        <v>508</v>
      </c>
      <c r="G283" s="219">
        <v>8</v>
      </c>
      <c r="H283" s="219" t="s">
        <v>376</v>
      </c>
    </row>
    <row r="284" spans="2:8">
      <c r="B284" s="217">
        <v>7</v>
      </c>
      <c r="C284" s="217" t="s">
        <v>283</v>
      </c>
      <c r="D284" s="217" t="str">
        <f t="shared" si="19"/>
        <v>7八郷西小学校</v>
      </c>
      <c r="E284" s="218">
        <v>2</v>
      </c>
      <c r="F284" s="219" t="s">
        <v>455</v>
      </c>
      <c r="G284" s="219">
        <v>8</v>
      </c>
      <c r="H284" s="219" t="s">
        <v>376</v>
      </c>
    </row>
    <row r="285" spans="2:8">
      <c r="B285" s="217">
        <v>8</v>
      </c>
      <c r="C285" s="217" t="s">
        <v>283</v>
      </c>
      <c r="D285" s="217" t="str">
        <f t="shared" si="19"/>
        <v>8八郷西小学校</v>
      </c>
      <c r="E285" s="218">
        <v>2</v>
      </c>
      <c r="F285" s="219" t="s">
        <v>406</v>
      </c>
      <c r="G285" s="219">
        <v>8</v>
      </c>
      <c r="H285" s="219" t="s">
        <v>376</v>
      </c>
    </row>
    <row r="286" spans="2:8">
      <c r="B286" s="217">
        <v>1</v>
      </c>
      <c r="C286" s="217" t="s">
        <v>284</v>
      </c>
      <c r="D286" s="217" t="str">
        <f t="shared" si="19"/>
        <v>1羽津北小学校</v>
      </c>
      <c r="E286" s="218">
        <v>1</v>
      </c>
      <c r="F286" s="219" t="s">
        <v>394</v>
      </c>
      <c r="G286" s="219">
        <f t="shared" si="17"/>
        <v>3</v>
      </c>
      <c r="H286" s="219" t="str">
        <f t="shared" si="18"/>
        <v>③校長室</v>
      </c>
    </row>
    <row r="287" spans="2:8">
      <c r="B287" s="217">
        <v>2</v>
      </c>
      <c r="C287" s="217" t="s">
        <v>284</v>
      </c>
      <c r="D287" s="217" t="str">
        <f t="shared" si="19"/>
        <v>2羽津北小学校</v>
      </c>
      <c r="E287" s="218">
        <v>1</v>
      </c>
      <c r="F287" s="219" t="s">
        <v>395</v>
      </c>
      <c r="G287" s="219">
        <f t="shared" si="17"/>
        <v>2</v>
      </c>
      <c r="H287" s="219" t="str">
        <f t="shared" si="18"/>
        <v>②職員室</v>
      </c>
    </row>
    <row r="288" spans="2:8">
      <c r="B288" s="217">
        <v>3</v>
      </c>
      <c r="C288" s="217" t="s">
        <v>284</v>
      </c>
      <c r="D288" s="217" t="str">
        <f t="shared" si="19"/>
        <v>3羽津北小学校</v>
      </c>
      <c r="E288" s="218">
        <v>1</v>
      </c>
      <c r="F288" s="219" t="s">
        <v>399</v>
      </c>
      <c r="G288" s="219">
        <f t="shared" si="17"/>
        <v>5</v>
      </c>
      <c r="H288" s="219" t="str">
        <f t="shared" si="18"/>
        <v>⑤相談室</v>
      </c>
    </row>
    <row r="289" spans="2:8">
      <c r="B289" s="217">
        <v>4</v>
      </c>
      <c r="C289" s="217" t="s">
        <v>284</v>
      </c>
      <c r="D289" s="217" t="str">
        <f t="shared" si="19"/>
        <v>4羽津北小学校</v>
      </c>
      <c r="E289" s="218">
        <v>1</v>
      </c>
      <c r="F289" s="219" t="s">
        <v>400</v>
      </c>
      <c r="G289" s="219">
        <f t="shared" si="17"/>
        <v>4</v>
      </c>
      <c r="H289" s="219" t="str">
        <f t="shared" si="18"/>
        <v>④保健室</v>
      </c>
    </row>
    <row r="290" spans="2:8">
      <c r="B290" s="217">
        <v>5</v>
      </c>
      <c r="C290" s="217" t="s">
        <v>284</v>
      </c>
      <c r="D290" s="217" t="str">
        <f t="shared" si="19"/>
        <v>5羽津北小学校</v>
      </c>
      <c r="E290" s="218">
        <v>1</v>
      </c>
      <c r="F290" s="219" t="s">
        <v>429</v>
      </c>
      <c r="G290" s="219">
        <f t="shared" si="17"/>
        <v>6</v>
      </c>
      <c r="H290" s="219" t="str">
        <f t="shared" si="18"/>
        <v>⑥会議室</v>
      </c>
    </row>
    <row r="291" spans="2:8">
      <c r="B291" s="217">
        <v>6</v>
      </c>
      <c r="C291" s="217" t="s">
        <v>284</v>
      </c>
      <c r="D291" s="217" t="str">
        <f t="shared" si="19"/>
        <v>6羽津北小学校</v>
      </c>
      <c r="E291" s="218">
        <v>3</v>
      </c>
      <c r="F291" s="219" t="s">
        <v>416</v>
      </c>
      <c r="G291" s="219">
        <v>8</v>
      </c>
      <c r="H291" s="219" t="s">
        <v>376</v>
      </c>
    </row>
    <row r="292" spans="2:8">
      <c r="B292" s="217">
        <v>1</v>
      </c>
      <c r="C292" s="217" t="s">
        <v>285</v>
      </c>
      <c r="D292" s="217" t="str">
        <f t="shared" si="19"/>
        <v>1内部東小学校</v>
      </c>
      <c r="E292" s="218">
        <v>1</v>
      </c>
      <c r="F292" s="219" t="s">
        <v>394</v>
      </c>
      <c r="G292" s="219">
        <f t="shared" si="17"/>
        <v>3</v>
      </c>
      <c r="H292" s="219" t="str">
        <f t="shared" si="18"/>
        <v>③校長室</v>
      </c>
    </row>
    <row r="293" spans="2:8">
      <c r="B293" s="217">
        <v>2</v>
      </c>
      <c r="C293" s="217" t="s">
        <v>285</v>
      </c>
      <c r="D293" s="217" t="str">
        <f t="shared" si="19"/>
        <v>2内部東小学校</v>
      </c>
      <c r="E293" s="218">
        <v>1</v>
      </c>
      <c r="F293" s="219" t="s">
        <v>400</v>
      </c>
      <c r="G293" s="219">
        <f t="shared" si="17"/>
        <v>4</v>
      </c>
      <c r="H293" s="219" t="str">
        <f t="shared" si="18"/>
        <v>④保健室</v>
      </c>
    </row>
    <row r="294" spans="2:8">
      <c r="B294" s="217">
        <v>3</v>
      </c>
      <c r="C294" s="217" t="s">
        <v>285</v>
      </c>
      <c r="D294" s="217" t="str">
        <f t="shared" si="19"/>
        <v>3内部東小学校</v>
      </c>
      <c r="E294" s="218">
        <v>1</v>
      </c>
      <c r="F294" s="219" t="s">
        <v>399</v>
      </c>
      <c r="G294" s="219">
        <f t="shared" si="17"/>
        <v>5</v>
      </c>
      <c r="H294" s="219" t="str">
        <f t="shared" si="18"/>
        <v>⑤相談室</v>
      </c>
    </row>
    <row r="295" spans="2:8">
      <c r="B295" s="217">
        <v>4</v>
      </c>
      <c r="C295" s="217" t="s">
        <v>285</v>
      </c>
      <c r="D295" s="217" t="str">
        <f t="shared" si="19"/>
        <v>4内部東小学校</v>
      </c>
      <c r="E295" s="218">
        <v>1</v>
      </c>
      <c r="F295" s="219" t="s">
        <v>399</v>
      </c>
      <c r="G295" s="219">
        <f t="shared" si="17"/>
        <v>5</v>
      </c>
      <c r="H295" s="219" t="str">
        <f t="shared" si="18"/>
        <v>⑤相談室</v>
      </c>
    </row>
    <row r="296" spans="2:8">
      <c r="B296" s="217">
        <v>5</v>
      </c>
      <c r="C296" s="217" t="s">
        <v>285</v>
      </c>
      <c r="D296" s="217" t="str">
        <f t="shared" si="19"/>
        <v>5内部東小学校</v>
      </c>
      <c r="E296" s="218">
        <v>1</v>
      </c>
      <c r="F296" s="219" t="s">
        <v>429</v>
      </c>
      <c r="G296" s="219">
        <f t="shared" si="17"/>
        <v>6</v>
      </c>
      <c r="H296" s="219" t="str">
        <f t="shared" si="18"/>
        <v>⑥会議室</v>
      </c>
    </row>
    <row r="297" spans="2:8">
      <c r="B297" s="217">
        <v>6</v>
      </c>
      <c r="C297" s="217" t="s">
        <v>285</v>
      </c>
      <c r="D297" s="217" t="str">
        <f t="shared" si="19"/>
        <v>6内部東小学校</v>
      </c>
      <c r="E297" s="218">
        <v>1</v>
      </c>
      <c r="F297" s="219" t="s">
        <v>509</v>
      </c>
      <c r="G297" s="219">
        <v>8</v>
      </c>
      <c r="H297" s="219" t="s">
        <v>376</v>
      </c>
    </row>
    <row r="298" spans="2:8">
      <c r="B298" s="217">
        <v>7</v>
      </c>
      <c r="C298" s="217" t="s">
        <v>285</v>
      </c>
      <c r="D298" s="217" t="str">
        <f t="shared" si="19"/>
        <v>7内部東小学校</v>
      </c>
      <c r="E298" s="218">
        <v>1</v>
      </c>
      <c r="F298" s="219" t="s">
        <v>395</v>
      </c>
      <c r="G298" s="219">
        <f t="shared" si="17"/>
        <v>2</v>
      </c>
      <c r="H298" s="219" t="str">
        <f t="shared" si="18"/>
        <v>②職員室</v>
      </c>
    </row>
    <row r="299" spans="2:8">
      <c r="B299" s="217">
        <v>8</v>
      </c>
      <c r="C299" s="217" t="s">
        <v>285</v>
      </c>
      <c r="D299" s="217" t="str">
        <f t="shared" si="19"/>
        <v>8内部東小学校</v>
      </c>
      <c r="E299" s="218">
        <v>2</v>
      </c>
      <c r="F299" s="219" t="s">
        <v>510</v>
      </c>
      <c r="G299" s="219">
        <v>8</v>
      </c>
      <c r="H299" s="219" t="s">
        <v>376</v>
      </c>
    </row>
    <row r="300" spans="2:8">
      <c r="B300" s="217">
        <v>9</v>
      </c>
      <c r="C300" s="217" t="s">
        <v>285</v>
      </c>
      <c r="D300" s="217" t="str">
        <f t="shared" si="19"/>
        <v>9内部東小学校</v>
      </c>
      <c r="E300" s="218">
        <v>2</v>
      </c>
      <c r="F300" s="219" t="s">
        <v>511</v>
      </c>
      <c r="G300" s="219">
        <v>8</v>
      </c>
      <c r="H300" s="219" t="s">
        <v>376</v>
      </c>
    </row>
    <row r="301" spans="2:8">
      <c r="B301" s="217">
        <v>10</v>
      </c>
      <c r="C301" s="217" t="s">
        <v>285</v>
      </c>
      <c r="D301" s="217" t="str">
        <f t="shared" si="19"/>
        <v>10内部東小学校</v>
      </c>
      <c r="E301" s="218">
        <v>3</v>
      </c>
      <c r="F301" s="219" t="s">
        <v>512</v>
      </c>
      <c r="G301" s="219">
        <v>8</v>
      </c>
      <c r="H301" s="219" t="s">
        <v>376</v>
      </c>
    </row>
    <row r="302" spans="2:8">
      <c r="B302" s="217">
        <v>11</v>
      </c>
      <c r="C302" s="217" t="s">
        <v>285</v>
      </c>
      <c r="D302" s="217" t="str">
        <f t="shared" si="19"/>
        <v>11内部東小学校</v>
      </c>
      <c r="E302" s="218">
        <v>3</v>
      </c>
      <c r="F302" s="219" t="s">
        <v>513</v>
      </c>
      <c r="G302" s="219">
        <v>8</v>
      </c>
      <c r="H302" s="219" t="s">
        <v>376</v>
      </c>
    </row>
    <row r="303" spans="2:8">
      <c r="B303" s="217">
        <v>1</v>
      </c>
      <c r="C303" s="217" t="s">
        <v>286</v>
      </c>
      <c r="D303" s="217" t="str">
        <f t="shared" si="19"/>
        <v>1中央小学校</v>
      </c>
      <c r="E303" s="218">
        <v>1</v>
      </c>
      <c r="F303" s="219" t="s">
        <v>394</v>
      </c>
      <c r="G303" s="219">
        <f>IF(F303="校長室",$L$5,IF(F303="職員室",$L$4,IF(F303="保健室",$L$6,IF(F303="相談室",$L$7,IF(F303="会議室",$L$8,"")))))</f>
        <v>3</v>
      </c>
      <c r="H303" s="219" t="str">
        <f>IF(F303="校長室",$M$5,IF(F303="職員室",$M$4,IF(F303="保健室",$M$6,IF(F303="相談室",$M$7,IF(F303="会議室",$M$8,"")))))</f>
        <v>③校長室</v>
      </c>
    </row>
    <row r="304" spans="2:8">
      <c r="B304" s="217">
        <v>2</v>
      </c>
      <c r="C304" s="217" t="s">
        <v>286</v>
      </c>
      <c r="D304" s="217" t="str">
        <f t="shared" si="19"/>
        <v>2中央小学校</v>
      </c>
      <c r="E304" s="218">
        <v>1</v>
      </c>
      <c r="F304" s="219" t="s">
        <v>395</v>
      </c>
      <c r="G304" s="219">
        <f>IF(F304="校長室",$L$5,IF(F304="職員室",$L$4,IF(F304="保健室",$L$6,IF(F304="相談室",$L$7,IF(F304="会議室",$L$8,"")))))</f>
        <v>2</v>
      </c>
      <c r="H304" s="219" t="str">
        <f>IF(F304="校長室",$M$5,IF(F304="職員室",$M$4,IF(F304="保健室",$M$6,IF(F304="相談室",$M$7,IF(F304="会議室",$M$8,"")))))</f>
        <v>②職員室</v>
      </c>
    </row>
    <row r="305" spans="2:8">
      <c r="B305" s="217">
        <v>3</v>
      </c>
      <c r="C305" s="217" t="s">
        <v>286</v>
      </c>
      <c r="D305" s="217" t="str">
        <f t="shared" si="19"/>
        <v>3中央小学校</v>
      </c>
      <c r="E305" s="218">
        <v>1</v>
      </c>
      <c r="F305" s="219" t="s">
        <v>514</v>
      </c>
      <c r="G305" s="219">
        <v>5</v>
      </c>
      <c r="H305" s="219" t="s">
        <v>374</v>
      </c>
    </row>
    <row r="306" spans="2:8">
      <c r="B306" s="217">
        <v>4</v>
      </c>
      <c r="C306" s="217" t="s">
        <v>286</v>
      </c>
      <c r="D306" s="217" t="str">
        <f t="shared" si="19"/>
        <v>4中央小学校</v>
      </c>
      <c r="E306" s="218">
        <v>1</v>
      </c>
      <c r="F306" s="219" t="s">
        <v>515</v>
      </c>
      <c r="G306" s="219">
        <v>5</v>
      </c>
      <c r="H306" s="219" t="s">
        <v>374</v>
      </c>
    </row>
    <row r="307" spans="2:8">
      <c r="B307" s="217">
        <v>5</v>
      </c>
      <c r="C307" s="217" t="s">
        <v>286</v>
      </c>
      <c r="D307" s="217" t="str">
        <f t="shared" si="19"/>
        <v>5中央小学校</v>
      </c>
      <c r="E307" s="218">
        <v>1</v>
      </c>
      <c r="F307" s="219" t="s">
        <v>400</v>
      </c>
      <c r="G307" s="219">
        <f>IF(F307="校長室",$L$5,IF(F307="職員室",$L$4,IF(F307="保健室",$L$6,IF(F307="相談室",$L$7,IF(F307="会議室",$L$8,"")))))</f>
        <v>4</v>
      </c>
      <c r="H307" s="219" t="str">
        <f>IF(F307="校長室",$M$5,IF(F307="職員室",$M$4,IF(F307="保健室",$M$6,IF(F307="相談室",$M$7,IF(F307="会議室",$M$8,"")))))</f>
        <v>④保健室</v>
      </c>
    </row>
    <row r="308" spans="2:8">
      <c r="B308" s="217">
        <v>6</v>
      </c>
      <c r="C308" s="217" t="s">
        <v>286</v>
      </c>
      <c r="D308" s="217" t="str">
        <f t="shared" si="19"/>
        <v>6中央小学校</v>
      </c>
      <c r="E308" s="218">
        <v>1</v>
      </c>
      <c r="F308" s="219" t="s">
        <v>429</v>
      </c>
      <c r="G308" s="219">
        <f>IF(F308="校長室",$L$5,IF(F308="職員室",$L$4,IF(F308="保健室",$L$6,IF(F308="相談室",$L$7,IF(F308="会議室",$L$8,"")))))</f>
        <v>6</v>
      </c>
      <c r="H308" s="219" t="str">
        <f>IF(F308="校長室",$M$5,IF(F308="職員室",$M$4,IF(F308="保健室",$M$6,IF(F308="相談室",$M$7,IF(F308="会議室",$M$8,"")))))</f>
        <v>⑥会議室</v>
      </c>
    </row>
    <row r="309" spans="2:8">
      <c r="B309" s="217">
        <v>7</v>
      </c>
      <c r="C309" s="217" t="s">
        <v>286</v>
      </c>
      <c r="D309" s="217" t="str">
        <f t="shared" si="19"/>
        <v>7中央小学校</v>
      </c>
      <c r="E309" s="218">
        <v>2</v>
      </c>
      <c r="F309" s="219" t="s">
        <v>488</v>
      </c>
      <c r="G309" s="219">
        <v>8</v>
      </c>
      <c r="H309" s="219" t="s">
        <v>376</v>
      </c>
    </row>
    <row r="310" spans="2:8">
      <c r="B310" s="217">
        <v>8</v>
      </c>
      <c r="C310" s="217" t="s">
        <v>286</v>
      </c>
      <c r="D310" s="217" t="str">
        <f t="shared" si="19"/>
        <v>8中央小学校</v>
      </c>
      <c r="E310" s="218">
        <v>1</v>
      </c>
      <c r="F310" s="219" t="s">
        <v>516</v>
      </c>
      <c r="G310" s="219">
        <v>8</v>
      </c>
      <c r="H310" s="219" t="s">
        <v>376</v>
      </c>
    </row>
    <row r="311" spans="2:8">
      <c r="B311" s="217">
        <v>9</v>
      </c>
      <c r="C311" s="217" t="s">
        <v>286</v>
      </c>
      <c r="D311" s="217" t="str">
        <f t="shared" si="19"/>
        <v>9中央小学校</v>
      </c>
      <c r="E311" s="218">
        <v>2</v>
      </c>
      <c r="F311" s="219" t="s">
        <v>517</v>
      </c>
      <c r="G311" s="219">
        <v>5</v>
      </c>
      <c r="H311" s="219" t="s">
        <v>374</v>
      </c>
    </row>
    <row r="312" spans="2:8">
      <c r="B312" s="217">
        <v>1</v>
      </c>
      <c r="C312" s="217" t="s">
        <v>287</v>
      </c>
      <c r="D312" s="217" t="str">
        <f t="shared" si="19"/>
        <v>1楠小学校</v>
      </c>
      <c r="E312" s="218">
        <v>1</v>
      </c>
      <c r="F312" s="219" t="s">
        <v>394</v>
      </c>
      <c r="G312" s="219">
        <f>IF(F312="校長室",$L$5,IF(F312="職員室",$L$4,IF(F312="保健室",$L$6,IF(F312="相談室",$L$7,IF(F312="会議室",$L$8,"")))))</f>
        <v>3</v>
      </c>
      <c r="H312" s="219" t="str">
        <f>IF(F312="校長室",$M$5,IF(F312="職員室",$M$4,IF(F312="保健室",$M$6,IF(F312="相談室",$M$7,IF(F312="会議室",$M$8,"")))))</f>
        <v>③校長室</v>
      </c>
    </row>
    <row r="313" spans="2:8">
      <c r="B313" s="217">
        <v>2</v>
      </c>
      <c r="C313" s="217" t="s">
        <v>287</v>
      </c>
      <c r="D313" s="217" t="str">
        <f t="shared" si="19"/>
        <v>2楠小学校</v>
      </c>
      <c r="E313" s="218">
        <v>1</v>
      </c>
      <c r="F313" s="219" t="s">
        <v>395</v>
      </c>
      <c r="G313" s="219">
        <f>IF(F313="校長室",$L$5,IF(F313="職員室",$L$4,IF(F313="保健室",$L$6,IF(F313="相談室",$L$7,IF(F313="会議室",$L$8,"")))))</f>
        <v>2</v>
      </c>
      <c r="H313" s="219" t="str">
        <f>IF(F313="校長室",$M$5,IF(F313="職員室",$M$4,IF(F313="保健室",$M$6,IF(F313="相談室",$M$7,IF(F313="会議室",$M$8,"")))))</f>
        <v>②職員室</v>
      </c>
    </row>
    <row r="314" spans="2:8">
      <c r="B314" s="217">
        <v>3</v>
      </c>
      <c r="C314" s="217" t="s">
        <v>287</v>
      </c>
      <c r="D314" s="217" t="str">
        <f t="shared" si="19"/>
        <v>3楠小学校</v>
      </c>
      <c r="E314" s="218">
        <v>1</v>
      </c>
      <c r="F314" s="481" t="s">
        <v>619</v>
      </c>
      <c r="G314" s="219">
        <v>5</v>
      </c>
      <c r="H314" s="219" t="s">
        <v>374</v>
      </c>
    </row>
    <row r="315" spans="2:8">
      <c r="B315" s="217">
        <v>4</v>
      </c>
      <c r="C315" s="217" t="s">
        <v>287</v>
      </c>
      <c r="D315" s="217" t="str">
        <f t="shared" si="19"/>
        <v>4楠小学校</v>
      </c>
      <c r="E315" s="218">
        <v>1</v>
      </c>
      <c r="F315" s="481" t="s">
        <v>620</v>
      </c>
      <c r="G315" s="219">
        <v>5</v>
      </c>
      <c r="H315" s="219" t="s">
        <v>374</v>
      </c>
    </row>
    <row r="316" spans="2:8">
      <c r="B316" s="217">
        <v>5</v>
      </c>
      <c r="C316" s="217" t="s">
        <v>287</v>
      </c>
      <c r="D316" s="217" t="str">
        <f t="shared" si="19"/>
        <v>5楠小学校</v>
      </c>
      <c r="E316" s="218">
        <v>1</v>
      </c>
      <c r="F316" s="219" t="s">
        <v>400</v>
      </c>
      <c r="G316" s="219">
        <f>IF(F316="校長室",$L$5,IF(F316="職員室",$L$4,IF(F316="保健室",$L$6,IF(F316="相談室",$L$7,IF(F316="会議室",$L$8,"")))))</f>
        <v>4</v>
      </c>
      <c r="H316" s="219" t="str">
        <f>IF(F316="校長室",$M$5,IF(F316="職員室",$M$4,IF(F316="保健室",$M$6,IF(F316="相談室",$M$7,IF(F316="会議室",$M$8,"")))))</f>
        <v>④保健室</v>
      </c>
    </row>
    <row r="317" spans="2:8">
      <c r="B317" s="217">
        <v>6</v>
      </c>
      <c r="C317" s="217" t="s">
        <v>287</v>
      </c>
      <c r="D317" s="217" t="str">
        <f t="shared" si="19"/>
        <v>6楠小学校</v>
      </c>
      <c r="E317" s="218">
        <v>1</v>
      </c>
      <c r="F317" s="219" t="s">
        <v>621</v>
      </c>
      <c r="G317" s="219">
        <v>8</v>
      </c>
      <c r="H317" s="219" t="s">
        <v>376</v>
      </c>
    </row>
    <row r="318" spans="2:8">
      <c r="B318" s="217">
        <v>7</v>
      </c>
      <c r="C318" s="217" t="s">
        <v>287</v>
      </c>
      <c r="D318" s="217" t="str">
        <f t="shared" si="19"/>
        <v>7楠小学校</v>
      </c>
      <c r="E318" s="218">
        <v>2</v>
      </c>
      <c r="F318" s="219" t="s">
        <v>518</v>
      </c>
      <c r="G318" s="219">
        <v>8</v>
      </c>
      <c r="H318" s="219" t="s">
        <v>376</v>
      </c>
    </row>
    <row r="319" spans="2:8">
      <c r="B319" s="217">
        <v>8</v>
      </c>
      <c r="C319" s="217" t="s">
        <v>287</v>
      </c>
      <c r="D319" s="217" t="str">
        <f t="shared" ref="D319:D376" si="20">B319&amp;C319</f>
        <v>8楠小学校</v>
      </c>
      <c r="E319" s="218">
        <v>3</v>
      </c>
      <c r="F319" s="219" t="s">
        <v>411</v>
      </c>
      <c r="G319" s="219">
        <v>8</v>
      </c>
      <c r="H319" s="219" t="s">
        <v>376</v>
      </c>
    </row>
    <row r="320" spans="2:8">
      <c r="B320" s="217">
        <v>9</v>
      </c>
      <c r="C320" s="217" t="s">
        <v>287</v>
      </c>
      <c r="D320" s="217" t="str">
        <f t="shared" si="20"/>
        <v>9楠小学校</v>
      </c>
      <c r="E320" s="218">
        <v>1</v>
      </c>
      <c r="F320" s="219" t="s">
        <v>519</v>
      </c>
      <c r="G320" s="219">
        <v>8</v>
      </c>
      <c r="H320" s="219" t="s">
        <v>376</v>
      </c>
    </row>
    <row r="321" spans="2:8">
      <c r="B321" s="217">
        <v>10</v>
      </c>
      <c r="C321" s="217" t="s">
        <v>287</v>
      </c>
      <c r="D321" s="217" t="str">
        <f t="shared" si="20"/>
        <v>10楠小学校</v>
      </c>
      <c r="E321" s="218">
        <v>2</v>
      </c>
      <c r="F321" s="219" t="s">
        <v>520</v>
      </c>
      <c r="G321" s="219">
        <v>8</v>
      </c>
      <c r="H321" s="219" t="s">
        <v>376</v>
      </c>
    </row>
    <row r="322" spans="2:8">
      <c r="B322" s="217">
        <v>11</v>
      </c>
      <c r="C322" s="217" t="s">
        <v>287</v>
      </c>
      <c r="D322" s="217" t="str">
        <f t="shared" si="20"/>
        <v>11楠小学校</v>
      </c>
      <c r="E322" s="218">
        <v>3</v>
      </c>
      <c r="F322" s="219" t="s">
        <v>521</v>
      </c>
      <c r="G322" s="219">
        <v>8</v>
      </c>
      <c r="H322" s="219" t="s">
        <v>376</v>
      </c>
    </row>
    <row r="323" spans="2:8">
      <c r="B323" s="217">
        <v>12</v>
      </c>
      <c r="C323" s="217" t="s">
        <v>287</v>
      </c>
      <c r="D323" s="217" t="str">
        <f t="shared" si="20"/>
        <v>12楠小学校</v>
      </c>
      <c r="E323" s="218">
        <v>4</v>
      </c>
      <c r="F323" s="219" t="s">
        <v>522</v>
      </c>
      <c r="G323" s="219">
        <v>7</v>
      </c>
      <c r="H323" s="219" t="s">
        <v>375</v>
      </c>
    </row>
    <row r="324" spans="2:8">
      <c r="B324" s="217">
        <v>13</v>
      </c>
      <c r="C324" s="217" t="s">
        <v>287</v>
      </c>
      <c r="D324" s="217" t="str">
        <f t="shared" si="20"/>
        <v>13楠小学校</v>
      </c>
      <c r="E324" s="218">
        <v>4</v>
      </c>
      <c r="F324" s="219" t="s">
        <v>523</v>
      </c>
      <c r="G324" s="219">
        <v>8</v>
      </c>
      <c r="H324" s="219" t="s">
        <v>376</v>
      </c>
    </row>
    <row r="325" spans="2:8">
      <c r="B325" s="217">
        <v>14</v>
      </c>
      <c r="C325" s="217" t="s">
        <v>287</v>
      </c>
      <c r="D325" s="217" t="str">
        <f t="shared" si="20"/>
        <v>14楠小学校</v>
      </c>
      <c r="E325" s="218">
        <v>4</v>
      </c>
      <c r="F325" s="219" t="s">
        <v>408</v>
      </c>
      <c r="G325" s="219">
        <v>8</v>
      </c>
      <c r="H325" s="219" t="s">
        <v>376</v>
      </c>
    </row>
    <row r="326" spans="2:8">
      <c r="B326" s="217">
        <v>15</v>
      </c>
      <c r="C326" s="217" t="s">
        <v>287</v>
      </c>
      <c r="D326" s="217" t="str">
        <f t="shared" si="20"/>
        <v>15楠小学校</v>
      </c>
      <c r="E326" s="218">
        <v>1</v>
      </c>
      <c r="F326" s="219" t="s">
        <v>524</v>
      </c>
      <c r="G326" s="219">
        <v>7</v>
      </c>
      <c r="H326" s="219" t="s">
        <v>375</v>
      </c>
    </row>
    <row r="327" spans="2:8">
      <c r="B327" s="217">
        <v>16</v>
      </c>
      <c r="C327" s="483" t="s">
        <v>287</v>
      </c>
      <c r="D327" s="483" t="str">
        <f>B327&amp;C327</f>
        <v>16楠小学校</v>
      </c>
      <c r="E327" s="482">
        <v>1</v>
      </c>
      <c r="F327" s="481" t="s">
        <v>510</v>
      </c>
      <c r="G327" s="481">
        <v>8</v>
      </c>
      <c r="H327" s="481" t="s">
        <v>376</v>
      </c>
    </row>
    <row r="328" spans="2:8">
      <c r="B328" s="217">
        <v>17</v>
      </c>
      <c r="C328" s="483" t="s">
        <v>287</v>
      </c>
      <c r="D328" s="483" t="str">
        <f>B328&amp;C328</f>
        <v>17楠小学校</v>
      </c>
      <c r="E328" s="482">
        <v>4</v>
      </c>
      <c r="F328" s="481" t="s">
        <v>618</v>
      </c>
      <c r="G328" s="481">
        <v>8</v>
      </c>
      <c r="H328" s="481" t="s">
        <v>376</v>
      </c>
    </row>
    <row r="329" spans="2:8">
      <c r="B329" s="217">
        <v>1</v>
      </c>
      <c r="C329" s="217" t="s">
        <v>288</v>
      </c>
      <c r="D329" s="217" t="str">
        <f t="shared" si="20"/>
        <v>1中部中学校</v>
      </c>
      <c r="E329" s="218">
        <v>1</v>
      </c>
      <c r="F329" s="219" t="s">
        <v>525</v>
      </c>
      <c r="G329" s="219">
        <v>3</v>
      </c>
      <c r="H329" s="219" t="s">
        <v>607</v>
      </c>
    </row>
    <row r="330" spans="2:8">
      <c r="B330" s="217">
        <v>2</v>
      </c>
      <c r="C330" s="217" t="s">
        <v>288</v>
      </c>
      <c r="D330" s="217" t="str">
        <f t="shared" si="20"/>
        <v>2中部中学校</v>
      </c>
      <c r="E330" s="218">
        <v>1</v>
      </c>
      <c r="F330" s="219" t="s">
        <v>609</v>
      </c>
      <c r="G330" s="219">
        <v>6</v>
      </c>
      <c r="H330" s="219" t="s">
        <v>373</v>
      </c>
    </row>
    <row r="331" spans="2:8">
      <c r="B331" s="217">
        <v>3</v>
      </c>
      <c r="C331" s="217" t="s">
        <v>288</v>
      </c>
      <c r="D331" s="217" t="str">
        <f t="shared" si="20"/>
        <v>3中部中学校</v>
      </c>
      <c r="E331" s="218">
        <v>1</v>
      </c>
      <c r="F331" s="219" t="s">
        <v>400</v>
      </c>
      <c r="G331" s="219">
        <f>IF(F331="校長室",$L$5,IF(F331="職員室",$L$4,IF(F331="保健室",$L$6,IF(F331="相談室",$L$7,IF(F331="会議室",$L$8,"")))))</f>
        <v>4</v>
      </c>
      <c r="H331" s="219" t="str">
        <f>IF(F331="校長室",$M$5,IF(F331="職員室",$M$4,IF(F331="保健室",$M$6,IF(F331="相談室",$M$7,IF(F331="会議室",$M$8,"")))))</f>
        <v>④保健室</v>
      </c>
    </row>
    <row r="332" spans="2:8">
      <c r="B332" s="217">
        <v>4</v>
      </c>
      <c r="C332" s="217" t="s">
        <v>288</v>
      </c>
      <c r="D332" s="217" t="str">
        <f t="shared" si="20"/>
        <v>4中部中学校</v>
      </c>
      <c r="E332" s="218">
        <v>2</v>
      </c>
      <c r="F332" s="219" t="s">
        <v>394</v>
      </c>
      <c r="G332" s="219">
        <f>IF(F332="校長室",$L$5,IF(F332="職員室",$L$4,IF(F332="保健室",$L$6,IF(F332="相談室",$L$7,IF(F332="会議室",$L$8,"")))))</f>
        <v>3</v>
      </c>
      <c r="H332" s="219" t="str">
        <f>IF(F332="校長室",$M$5,IF(F332="職員室",$M$4,IF(F332="保健室",$M$6,IF(F332="相談室",$M$7,IF(F332="会議室",$M$8,"")))))</f>
        <v>③校長室</v>
      </c>
    </row>
    <row r="333" spans="2:8">
      <c r="B333" s="217">
        <v>5</v>
      </c>
      <c r="C333" s="217" t="s">
        <v>288</v>
      </c>
      <c r="D333" s="217" t="str">
        <f t="shared" si="20"/>
        <v>5中部中学校</v>
      </c>
      <c r="E333" s="218">
        <v>2</v>
      </c>
      <c r="F333" s="219" t="s">
        <v>395</v>
      </c>
      <c r="G333" s="219">
        <f>IF(F333="校長室",$L$5,IF(F333="職員室",$L$4,IF(F333="保健室",$L$6,IF(F333="相談室",$L$7,IF(F333="会議室",$L$8,"")))))</f>
        <v>2</v>
      </c>
      <c r="H333" s="219" t="str">
        <f>IF(F333="校長室",$M$5,IF(F333="職員室",$M$4,IF(F333="保健室",$M$6,IF(F333="相談室",$M$7,IF(F333="会議室",$M$8,"")))))</f>
        <v>②職員室</v>
      </c>
    </row>
    <row r="334" spans="2:8">
      <c r="B334" s="217">
        <v>6</v>
      </c>
      <c r="C334" s="217" t="s">
        <v>288</v>
      </c>
      <c r="D334" s="217" t="str">
        <f t="shared" si="20"/>
        <v>6中部中学校</v>
      </c>
      <c r="E334" s="218">
        <v>2</v>
      </c>
      <c r="F334" s="219" t="s">
        <v>399</v>
      </c>
      <c r="G334" s="219">
        <f>IF(F334="校長室",$L$5,IF(F334="職員室",$L$4,IF(F334="保健室",$L$6,IF(F334="相談室",$L$7,IF(F334="会議室",$L$8,"")))))</f>
        <v>5</v>
      </c>
      <c r="H334" s="219" t="str">
        <f>IF(F334="校長室",$M$5,IF(F334="職員室",$M$4,IF(F334="保健室",$M$6,IF(F334="相談室",$M$7,IF(F334="会議室",$M$8,"")))))</f>
        <v>⑤相談室</v>
      </c>
    </row>
    <row r="335" spans="2:8">
      <c r="B335" s="217">
        <v>7</v>
      </c>
      <c r="C335" s="217" t="s">
        <v>288</v>
      </c>
      <c r="D335" s="217" t="str">
        <f t="shared" si="20"/>
        <v>7中部中学校</v>
      </c>
      <c r="E335" s="218">
        <v>2</v>
      </c>
      <c r="F335" s="219" t="s">
        <v>410</v>
      </c>
      <c r="G335" s="219">
        <v>7</v>
      </c>
      <c r="H335" s="219" t="s">
        <v>375</v>
      </c>
    </row>
    <row r="336" spans="2:8">
      <c r="B336" s="217">
        <v>8</v>
      </c>
      <c r="C336" s="217" t="s">
        <v>288</v>
      </c>
      <c r="D336" s="217" t="str">
        <f t="shared" si="20"/>
        <v>8中部中学校</v>
      </c>
      <c r="E336" s="218">
        <v>2</v>
      </c>
      <c r="F336" s="219" t="s">
        <v>526</v>
      </c>
      <c r="G336" s="219">
        <v>8</v>
      </c>
      <c r="H336" s="219" t="s">
        <v>376</v>
      </c>
    </row>
    <row r="337" spans="2:8">
      <c r="B337" s="217">
        <v>9</v>
      </c>
      <c r="C337" s="217" t="s">
        <v>288</v>
      </c>
      <c r="D337" s="217" t="str">
        <f t="shared" si="20"/>
        <v>9中部中学校</v>
      </c>
      <c r="E337" s="218">
        <v>2</v>
      </c>
      <c r="F337" s="219" t="s">
        <v>527</v>
      </c>
      <c r="G337" s="219">
        <v>7</v>
      </c>
      <c r="H337" s="219" t="s">
        <v>375</v>
      </c>
    </row>
    <row r="338" spans="2:8">
      <c r="B338" s="217">
        <v>10</v>
      </c>
      <c r="C338" s="217" t="s">
        <v>288</v>
      </c>
      <c r="D338" s="217" t="str">
        <f t="shared" si="20"/>
        <v>10中部中学校</v>
      </c>
      <c r="E338" s="218">
        <v>1</v>
      </c>
      <c r="F338" s="219" t="s">
        <v>406</v>
      </c>
      <c r="G338" s="219">
        <v>8</v>
      </c>
      <c r="H338" s="219" t="s">
        <v>376</v>
      </c>
    </row>
    <row r="339" spans="2:8">
      <c r="B339" s="217">
        <v>11</v>
      </c>
      <c r="C339" s="217" t="s">
        <v>288</v>
      </c>
      <c r="D339" s="217" t="str">
        <f>B339&amp;C339</f>
        <v>11中部中学校</v>
      </c>
      <c r="E339" s="218">
        <v>1</v>
      </c>
      <c r="F339" s="219" t="s">
        <v>528</v>
      </c>
      <c r="G339" s="219">
        <v>7</v>
      </c>
      <c r="H339" s="219" t="s">
        <v>375</v>
      </c>
    </row>
    <row r="340" spans="2:8">
      <c r="B340" s="217">
        <v>1</v>
      </c>
      <c r="C340" s="217" t="s">
        <v>289</v>
      </c>
      <c r="D340" s="217" t="str">
        <f t="shared" si="20"/>
        <v>1塩浜中学校</v>
      </c>
      <c r="E340" s="218">
        <v>1</v>
      </c>
      <c r="F340" s="219" t="s">
        <v>399</v>
      </c>
      <c r="G340" s="219">
        <f>IF(F340="校長室",$L$5,IF(F340="職員室",$L$4,IF(F340="保健室",$L$6,IF(F340="相談室",$L$7,IF(F340="会議室",$L$8,"")))))</f>
        <v>5</v>
      </c>
      <c r="H340" s="219" t="str">
        <f>IF(F340="校長室",$M$5,IF(F340="職員室",$M$4,IF(F340="保健室",$M$6,IF(F340="相談室",$M$7,IF(F340="会議室",$M$8,"")))))</f>
        <v>⑤相談室</v>
      </c>
    </row>
    <row r="341" spans="2:8">
      <c r="B341" s="217">
        <v>2</v>
      </c>
      <c r="C341" s="217" t="s">
        <v>289</v>
      </c>
      <c r="D341" s="217" t="str">
        <f t="shared" si="20"/>
        <v>2塩浜中学校</v>
      </c>
      <c r="E341" s="218">
        <v>2</v>
      </c>
      <c r="F341" s="219" t="s">
        <v>502</v>
      </c>
      <c r="G341" s="219">
        <v>6</v>
      </c>
      <c r="H341" s="219" t="s">
        <v>373</v>
      </c>
    </row>
    <row r="342" spans="2:8">
      <c r="B342" s="217">
        <v>3</v>
      </c>
      <c r="C342" s="217" t="s">
        <v>289</v>
      </c>
      <c r="D342" s="217" t="str">
        <f t="shared" si="20"/>
        <v>3塩浜中学校</v>
      </c>
      <c r="E342" s="218">
        <v>1</v>
      </c>
      <c r="F342" s="219" t="s">
        <v>503</v>
      </c>
      <c r="G342" s="219">
        <v>6</v>
      </c>
      <c r="H342" s="219" t="s">
        <v>373</v>
      </c>
    </row>
    <row r="343" spans="2:8">
      <c r="B343" s="217">
        <v>4</v>
      </c>
      <c r="C343" s="217" t="s">
        <v>289</v>
      </c>
      <c r="D343" s="217" t="str">
        <f t="shared" si="20"/>
        <v>4塩浜中学校</v>
      </c>
      <c r="E343" s="218">
        <v>2</v>
      </c>
      <c r="F343" s="219" t="s">
        <v>529</v>
      </c>
      <c r="G343" s="219">
        <v>6</v>
      </c>
      <c r="H343" s="219" t="s">
        <v>373</v>
      </c>
    </row>
    <row r="344" spans="2:8">
      <c r="B344" s="217">
        <v>5</v>
      </c>
      <c r="C344" s="217" t="s">
        <v>289</v>
      </c>
      <c r="D344" s="217" t="str">
        <f t="shared" si="20"/>
        <v>5塩浜中学校</v>
      </c>
      <c r="E344" s="218">
        <v>3</v>
      </c>
      <c r="F344" s="219" t="s">
        <v>462</v>
      </c>
      <c r="G344" s="219">
        <v>8</v>
      </c>
      <c r="H344" s="219" t="s">
        <v>376</v>
      </c>
    </row>
    <row r="345" spans="2:8">
      <c r="B345" s="217">
        <v>6</v>
      </c>
      <c r="C345" s="217" t="s">
        <v>289</v>
      </c>
      <c r="D345" s="217" t="str">
        <f t="shared" si="20"/>
        <v>6塩浜中学校</v>
      </c>
      <c r="E345" s="218">
        <v>2</v>
      </c>
      <c r="F345" s="219" t="s">
        <v>530</v>
      </c>
      <c r="G345" s="219">
        <v>8</v>
      </c>
      <c r="H345" s="219" t="s">
        <v>376</v>
      </c>
    </row>
    <row r="346" spans="2:8">
      <c r="B346" s="217">
        <v>7</v>
      </c>
      <c r="C346" s="217" t="s">
        <v>289</v>
      </c>
      <c r="D346" s="217" t="str">
        <f t="shared" si="20"/>
        <v>7塩浜中学校</v>
      </c>
      <c r="E346" s="218">
        <v>3</v>
      </c>
      <c r="F346" s="219" t="s">
        <v>531</v>
      </c>
      <c r="G346" s="219">
        <v>8</v>
      </c>
      <c r="H346" s="219" t="s">
        <v>376</v>
      </c>
    </row>
    <row r="347" spans="2:8">
      <c r="B347" s="217">
        <v>8</v>
      </c>
      <c r="C347" s="217" t="s">
        <v>289</v>
      </c>
      <c r="D347" s="217" t="str">
        <f t="shared" si="20"/>
        <v>8塩浜中学校</v>
      </c>
      <c r="E347" s="218">
        <v>3</v>
      </c>
      <c r="F347" s="219" t="s">
        <v>532</v>
      </c>
      <c r="G347" s="219">
        <v>8</v>
      </c>
      <c r="H347" s="219" t="s">
        <v>376</v>
      </c>
    </row>
    <row r="348" spans="2:8">
      <c r="B348" s="217">
        <v>9</v>
      </c>
      <c r="C348" s="217" t="s">
        <v>289</v>
      </c>
      <c r="D348" s="217" t="str">
        <f t="shared" si="20"/>
        <v>9塩浜中学校</v>
      </c>
      <c r="E348" s="218">
        <v>1</v>
      </c>
      <c r="F348" s="219" t="s">
        <v>400</v>
      </c>
      <c r="G348" s="219">
        <f>IF(F348="校長室",$L$5,IF(F348="職員室",$L$4,IF(F348="保健室",$L$6,IF(F348="相談室",$L$7,IF(F348="会議室",$L$8,"")))))</f>
        <v>4</v>
      </c>
      <c r="H348" s="219" t="str">
        <f>IF(F348="校長室",$M$5,IF(F348="職員室",$M$4,IF(F348="保健室",$M$6,IF(F348="相談室",$M$7,IF(F348="会議室",$M$8,"")))))</f>
        <v>④保健室</v>
      </c>
    </row>
    <row r="349" spans="2:8">
      <c r="B349" s="217">
        <v>10</v>
      </c>
      <c r="C349" s="217" t="s">
        <v>289</v>
      </c>
      <c r="D349" s="217" t="str">
        <f t="shared" si="20"/>
        <v>10塩浜中学校</v>
      </c>
      <c r="E349" s="218">
        <v>1</v>
      </c>
      <c r="F349" s="219" t="s">
        <v>533</v>
      </c>
      <c r="G349" s="219">
        <f>IF(F349="校長室",$L$5,IF(F349="職員室",$L$4,IF(F349="保健室",$L$6,IF(F349="相談室",$L$7,IF(F349="会議室",$L$8,"")))))</f>
        <v>2</v>
      </c>
      <c r="H349" s="219" t="str">
        <f>IF(F349="校長室",$M$5,IF(F349="職員室",$M$4,IF(F349="保健室",$M$6,IF(F349="相談室",$M$7,IF(F349="会議室",$M$8,"")))))</f>
        <v>②職員室</v>
      </c>
    </row>
    <row r="350" spans="2:8">
      <c r="B350" s="217">
        <v>11</v>
      </c>
      <c r="C350" s="217" t="s">
        <v>289</v>
      </c>
      <c r="D350" s="217" t="str">
        <f>B350&amp;C350</f>
        <v>11塩浜中学校</v>
      </c>
      <c r="E350" s="218">
        <v>1</v>
      </c>
      <c r="F350" s="219" t="s">
        <v>394</v>
      </c>
      <c r="G350" s="219">
        <f>IF(F350="校長室",$L$5,IF(F350="職員室",$L$4,IF(F350="保健室",$L$6,IF(F350="相談室",$L$7,IF(F350="会議室",$L$8,"")))))</f>
        <v>3</v>
      </c>
      <c r="H350" s="219" t="str">
        <f>IF(F350="校長室",$M$5,IF(F350="職員室",$M$4,IF(F350="保健室",$M$6,IF(F350="相談室",$M$7,IF(F350="会議室",$M$8,"")))))</f>
        <v>③校長室</v>
      </c>
    </row>
    <row r="351" spans="2:8">
      <c r="B351" s="217">
        <v>12</v>
      </c>
      <c r="C351" s="217" t="s">
        <v>289</v>
      </c>
      <c r="D351" s="217" t="str">
        <f>B351&amp;C351</f>
        <v>12塩浜中学校</v>
      </c>
      <c r="E351" s="218">
        <v>1</v>
      </c>
      <c r="F351" s="219" t="s">
        <v>528</v>
      </c>
      <c r="G351" s="219">
        <v>7</v>
      </c>
      <c r="H351" s="219" t="s">
        <v>375</v>
      </c>
    </row>
    <row r="352" spans="2:8">
      <c r="B352" s="217">
        <v>1</v>
      </c>
      <c r="C352" s="217" t="s">
        <v>290</v>
      </c>
      <c r="D352" s="217" t="str">
        <f t="shared" si="20"/>
        <v>1山手中学校</v>
      </c>
      <c r="E352" s="218">
        <v>1</v>
      </c>
      <c r="F352" s="219" t="s">
        <v>394</v>
      </c>
      <c r="G352" s="219">
        <f>IF(F352="校長室",$L$5,IF(F352="職員室",$L$4,IF(F352="保健室",$L$6,IF(F352="相談室",$L$7,IF(F352="会議室",$L$8,"")))))</f>
        <v>3</v>
      </c>
      <c r="H352" s="219" t="str">
        <f>IF(F352="校長室",$M$5,IF(F352="職員室",$M$4,IF(F352="保健室",$M$6,IF(F352="相談室",$M$7,IF(F352="会議室",$M$8,"")))))</f>
        <v>③校長室</v>
      </c>
    </row>
    <row r="353" spans="2:8">
      <c r="B353" s="217">
        <v>2</v>
      </c>
      <c r="C353" s="217" t="s">
        <v>290</v>
      </c>
      <c r="D353" s="217" t="str">
        <f t="shared" si="20"/>
        <v>2山手中学校</v>
      </c>
      <c r="E353" s="218">
        <v>1</v>
      </c>
      <c r="F353" s="219" t="s">
        <v>395</v>
      </c>
      <c r="G353" s="219">
        <f>IF(F353="校長室",$L$5,IF(F353="職員室",$L$4,IF(F353="保健室",$L$6,IF(F353="相談室",$L$7,IF(F353="会議室",$L$8,"")))))</f>
        <v>2</v>
      </c>
      <c r="H353" s="219" t="str">
        <f>IF(F353="校長室",$M$5,IF(F353="職員室",$M$4,IF(F353="保健室",$M$6,IF(F353="相談室",$M$7,IF(F353="会議室",$M$8,"")))))</f>
        <v>②職員室</v>
      </c>
    </row>
    <row r="354" spans="2:8">
      <c r="B354" s="217">
        <v>3</v>
      </c>
      <c r="C354" s="217" t="s">
        <v>290</v>
      </c>
      <c r="D354" s="217" t="str">
        <f t="shared" si="20"/>
        <v>3山手中学校</v>
      </c>
      <c r="E354" s="218">
        <v>1</v>
      </c>
      <c r="F354" s="219" t="s">
        <v>400</v>
      </c>
      <c r="G354" s="219">
        <f>IF(F354="校長室",$L$5,IF(F354="職員室",$L$4,IF(F354="保健室",$L$6,IF(F354="相談室",$L$7,IF(F354="会議室",$L$8,"")))))</f>
        <v>4</v>
      </c>
      <c r="H354" s="219" t="str">
        <f>IF(F354="校長室",$M$5,IF(F354="職員室",$M$4,IF(F354="保健室",$M$6,IF(F354="相談室",$M$7,IF(F354="会議室",$M$8,"")))))</f>
        <v>④保健室</v>
      </c>
    </row>
    <row r="355" spans="2:8">
      <c r="B355" s="217">
        <v>4</v>
      </c>
      <c r="C355" s="217" t="s">
        <v>290</v>
      </c>
      <c r="D355" s="217" t="str">
        <f t="shared" si="20"/>
        <v>4山手中学校</v>
      </c>
      <c r="E355" s="218">
        <v>1</v>
      </c>
      <c r="F355" s="219" t="s">
        <v>534</v>
      </c>
      <c r="G355" s="219">
        <v>7</v>
      </c>
      <c r="H355" s="219" t="s">
        <v>375</v>
      </c>
    </row>
    <row r="356" spans="2:8">
      <c r="B356" s="217">
        <v>5</v>
      </c>
      <c r="C356" s="217" t="s">
        <v>290</v>
      </c>
      <c r="D356" s="217" t="str">
        <f t="shared" si="20"/>
        <v>5山手中学校</v>
      </c>
      <c r="E356" s="218">
        <v>3</v>
      </c>
      <c r="F356" s="219" t="s">
        <v>399</v>
      </c>
      <c r="G356" s="219">
        <f t="shared" ref="G356:G413" si="21">IF(F356="校長室",$L$5,IF(F356="職員室",$L$4,IF(F356="保健室",$L$6,IF(F356="相談室",$L$7,IF(F356="会議室",$L$8,"")))))</f>
        <v>5</v>
      </c>
      <c r="H356" s="219" t="str">
        <f t="shared" ref="H356:H413" si="22">IF(F356="校長室",$M$5,IF(F356="職員室",$M$4,IF(F356="保健室",$M$6,IF(F356="相談室",$M$7,IF(F356="会議室",$M$8,"")))))</f>
        <v>⑤相談室</v>
      </c>
    </row>
    <row r="357" spans="2:8">
      <c r="B357" s="217">
        <v>6</v>
      </c>
      <c r="C357" s="217" t="s">
        <v>290</v>
      </c>
      <c r="D357" s="217" t="str">
        <f t="shared" si="20"/>
        <v>6山手中学校</v>
      </c>
      <c r="E357" s="218">
        <v>3</v>
      </c>
      <c r="F357" s="219" t="s">
        <v>399</v>
      </c>
      <c r="G357" s="219">
        <f t="shared" si="21"/>
        <v>5</v>
      </c>
      <c r="H357" s="219" t="str">
        <f t="shared" si="22"/>
        <v>⑤相談室</v>
      </c>
    </row>
    <row r="358" spans="2:8">
      <c r="B358" s="217">
        <v>7</v>
      </c>
      <c r="C358" s="217" t="s">
        <v>290</v>
      </c>
      <c r="D358" s="217" t="str">
        <f t="shared" si="20"/>
        <v>7山手中学校</v>
      </c>
      <c r="E358" s="218">
        <v>3</v>
      </c>
      <c r="F358" s="219" t="s">
        <v>462</v>
      </c>
      <c r="G358" s="219">
        <v>8</v>
      </c>
      <c r="H358" s="219" t="s">
        <v>376</v>
      </c>
    </row>
    <row r="359" spans="2:8">
      <c r="B359" s="217">
        <v>8</v>
      </c>
      <c r="C359" s="217" t="s">
        <v>290</v>
      </c>
      <c r="D359" s="217" t="str">
        <f t="shared" si="20"/>
        <v>8山手中学校</v>
      </c>
      <c r="E359" s="218">
        <v>1</v>
      </c>
      <c r="F359" s="219" t="s">
        <v>528</v>
      </c>
      <c r="G359" s="219">
        <v>7</v>
      </c>
      <c r="H359" s="219" t="s">
        <v>375</v>
      </c>
    </row>
    <row r="360" spans="2:8">
      <c r="B360" s="217">
        <v>9</v>
      </c>
      <c r="C360" s="217" t="s">
        <v>290</v>
      </c>
      <c r="D360" s="217" t="str">
        <f t="shared" si="20"/>
        <v>9山手中学校</v>
      </c>
      <c r="E360" s="218">
        <v>1</v>
      </c>
      <c r="F360" s="219" t="s">
        <v>399</v>
      </c>
      <c r="G360" s="219">
        <f t="shared" si="21"/>
        <v>5</v>
      </c>
      <c r="H360" s="219" t="str">
        <f t="shared" si="22"/>
        <v>⑤相談室</v>
      </c>
    </row>
    <row r="361" spans="2:8">
      <c r="B361" s="217">
        <v>10</v>
      </c>
      <c r="C361" s="217" t="s">
        <v>290</v>
      </c>
      <c r="D361" s="217" t="str">
        <f t="shared" si="20"/>
        <v>10山手中学校</v>
      </c>
      <c r="E361" s="218">
        <v>1</v>
      </c>
      <c r="F361" s="219" t="s">
        <v>399</v>
      </c>
      <c r="G361" s="219">
        <f t="shared" si="21"/>
        <v>5</v>
      </c>
      <c r="H361" s="219" t="str">
        <f t="shared" si="22"/>
        <v>⑤相談室</v>
      </c>
    </row>
    <row r="362" spans="2:8">
      <c r="B362" s="217">
        <v>11</v>
      </c>
      <c r="C362" s="217" t="s">
        <v>290</v>
      </c>
      <c r="D362" s="217" t="str">
        <f t="shared" si="20"/>
        <v>11山手中学校</v>
      </c>
      <c r="E362" s="218">
        <v>1</v>
      </c>
      <c r="F362" s="219" t="s">
        <v>399</v>
      </c>
      <c r="G362" s="219">
        <f t="shared" si="21"/>
        <v>5</v>
      </c>
      <c r="H362" s="219" t="str">
        <f t="shared" si="22"/>
        <v>⑤相談室</v>
      </c>
    </row>
    <row r="363" spans="2:8">
      <c r="B363" s="217">
        <v>1</v>
      </c>
      <c r="C363" s="217" t="s">
        <v>291</v>
      </c>
      <c r="D363" s="217" t="str">
        <f t="shared" si="20"/>
        <v>1富田中学校</v>
      </c>
      <c r="E363" s="218">
        <v>1</v>
      </c>
      <c r="F363" s="219" t="s">
        <v>394</v>
      </c>
      <c r="G363" s="219">
        <f t="shared" si="21"/>
        <v>3</v>
      </c>
      <c r="H363" s="219" t="str">
        <f t="shared" si="22"/>
        <v>③校長室</v>
      </c>
    </row>
    <row r="364" spans="2:8">
      <c r="B364" s="217">
        <v>2</v>
      </c>
      <c r="C364" s="217" t="s">
        <v>291</v>
      </c>
      <c r="D364" s="217" t="str">
        <f t="shared" si="20"/>
        <v>2富田中学校</v>
      </c>
      <c r="E364" s="218">
        <v>1</v>
      </c>
      <c r="F364" s="219" t="s">
        <v>395</v>
      </c>
      <c r="G364" s="219">
        <f t="shared" si="21"/>
        <v>2</v>
      </c>
      <c r="H364" s="219" t="str">
        <f t="shared" si="22"/>
        <v>②職員室</v>
      </c>
    </row>
    <row r="365" spans="2:8">
      <c r="B365" s="217">
        <v>3</v>
      </c>
      <c r="C365" s="217" t="s">
        <v>291</v>
      </c>
      <c r="D365" s="217" t="str">
        <f t="shared" si="20"/>
        <v>3富田中学校</v>
      </c>
      <c r="E365" s="218">
        <v>1</v>
      </c>
      <c r="F365" s="219" t="s">
        <v>400</v>
      </c>
      <c r="G365" s="219">
        <f t="shared" si="21"/>
        <v>4</v>
      </c>
      <c r="H365" s="219" t="str">
        <f t="shared" si="22"/>
        <v>④保健室</v>
      </c>
    </row>
    <row r="366" spans="2:8">
      <c r="B366" s="217">
        <v>4</v>
      </c>
      <c r="C366" s="217" t="s">
        <v>291</v>
      </c>
      <c r="D366" s="217" t="str">
        <f t="shared" si="20"/>
        <v>4富田中学校</v>
      </c>
      <c r="E366" s="218">
        <v>1</v>
      </c>
      <c r="F366" s="219" t="s">
        <v>399</v>
      </c>
      <c r="G366" s="219">
        <f t="shared" si="21"/>
        <v>5</v>
      </c>
      <c r="H366" s="219" t="str">
        <f t="shared" si="22"/>
        <v>⑤相談室</v>
      </c>
    </row>
    <row r="367" spans="2:8">
      <c r="B367" s="217">
        <v>5</v>
      </c>
      <c r="C367" s="217" t="s">
        <v>291</v>
      </c>
      <c r="D367" s="217" t="str">
        <f t="shared" si="20"/>
        <v>5富田中学校</v>
      </c>
      <c r="E367" s="218">
        <v>2</v>
      </c>
      <c r="F367" s="219" t="s">
        <v>424</v>
      </c>
      <c r="G367" s="219">
        <v>8</v>
      </c>
      <c r="H367" s="219" t="s">
        <v>376</v>
      </c>
    </row>
    <row r="368" spans="2:8">
      <c r="B368" s="217">
        <v>6</v>
      </c>
      <c r="C368" s="217" t="s">
        <v>291</v>
      </c>
      <c r="D368" s="217" t="str">
        <f t="shared" si="20"/>
        <v>6富田中学校</v>
      </c>
      <c r="E368" s="218">
        <v>1</v>
      </c>
      <c r="F368" s="219" t="s">
        <v>535</v>
      </c>
      <c r="G368" s="219">
        <v>7</v>
      </c>
      <c r="H368" s="219" t="s">
        <v>375</v>
      </c>
    </row>
    <row r="369" spans="2:8">
      <c r="B369" s="217">
        <v>1</v>
      </c>
      <c r="C369" s="217" t="s">
        <v>292</v>
      </c>
      <c r="D369" s="217" t="str">
        <f t="shared" si="20"/>
        <v>1富洲原中学校</v>
      </c>
      <c r="E369" s="218">
        <v>1</v>
      </c>
      <c r="F369" s="219" t="s">
        <v>394</v>
      </c>
      <c r="G369" s="219">
        <f t="shared" si="21"/>
        <v>3</v>
      </c>
      <c r="H369" s="219" t="str">
        <f t="shared" si="22"/>
        <v>③校長室</v>
      </c>
    </row>
    <row r="370" spans="2:8">
      <c r="B370" s="217">
        <v>2</v>
      </c>
      <c r="C370" s="217" t="s">
        <v>292</v>
      </c>
      <c r="D370" s="217" t="str">
        <f t="shared" si="20"/>
        <v>2富洲原中学校</v>
      </c>
      <c r="E370" s="218">
        <v>1</v>
      </c>
      <c r="F370" s="219" t="s">
        <v>395</v>
      </c>
      <c r="G370" s="219">
        <f t="shared" si="21"/>
        <v>2</v>
      </c>
      <c r="H370" s="219" t="str">
        <f t="shared" si="22"/>
        <v>②職員室</v>
      </c>
    </row>
    <row r="371" spans="2:8">
      <c r="B371" s="217">
        <v>3</v>
      </c>
      <c r="C371" s="217" t="s">
        <v>292</v>
      </c>
      <c r="D371" s="217" t="str">
        <f t="shared" si="20"/>
        <v>3富洲原中学校</v>
      </c>
      <c r="E371" s="218">
        <v>1</v>
      </c>
      <c r="F371" s="219" t="s">
        <v>429</v>
      </c>
      <c r="G371" s="219">
        <f t="shared" si="21"/>
        <v>6</v>
      </c>
      <c r="H371" s="219" t="str">
        <f t="shared" si="22"/>
        <v>⑥会議室</v>
      </c>
    </row>
    <row r="372" spans="2:8">
      <c r="B372" s="217">
        <v>4</v>
      </c>
      <c r="C372" s="217" t="s">
        <v>292</v>
      </c>
      <c r="D372" s="217" t="str">
        <f t="shared" si="20"/>
        <v>4富洲原中学校</v>
      </c>
      <c r="E372" s="218">
        <v>1</v>
      </c>
      <c r="F372" s="219" t="s">
        <v>399</v>
      </c>
      <c r="G372" s="219">
        <f t="shared" si="21"/>
        <v>5</v>
      </c>
      <c r="H372" s="219" t="str">
        <f t="shared" si="22"/>
        <v>⑤相談室</v>
      </c>
    </row>
    <row r="373" spans="2:8">
      <c r="B373" s="217">
        <v>5</v>
      </c>
      <c r="C373" s="217" t="s">
        <v>292</v>
      </c>
      <c r="D373" s="217" t="str">
        <f t="shared" si="20"/>
        <v>5富洲原中学校</v>
      </c>
      <c r="E373" s="218">
        <v>1</v>
      </c>
      <c r="F373" s="219" t="s">
        <v>400</v>
      </c>
      <c r="G373" s="219">
        <f t="shared" si="21"/>
        <v>4</v>
      </c>
      <c r="H373" s="219" t="str">
        <f t="shared" si="22"/>
        <v>④保健室</v>
      </c>
    </row>
    <row r="374" spans="2:8">
      <c r="B374" s="217">
        <v>6</v>
      </c>
      <c r="C374" s="217" t="s">
        <v>292</v>
      </c>
      <c r="D374" s="217" t="str">
        <f t="shared" si="20"/>
        <v>6富洲原中学校</v>
      </c>
      <c r="E374" s="218">
        <v>2</v>
      </c>
      <c r="F374" s="219" t="s">
        <v>518</v>
      </c>
      <c r="G374" s="219">
        <v>8</v>
      </c>
      <c r="H374" s="219" t="s">
        <v>376</v>
      </c>
    </row>
    <row r="375" spans="2:8">
      <c r="B375" s="217">
        <v>7</v>
      </c>
      <c r="C375" s="217" t="s">
        <v>292</v>
      </c>
      <c r="D375" s="217" t="str">
        <f t="shared" si="20"/>
        <v>7富洲原中学校</v>
      </c>
      <c r="E375" s="218">
        <v>1</v>
      </c>
      <c r="F375" s="219" t="s">
        <v>424</v>
      </c>
      <c r="G375" s="219">
        <v>8</v>
      </c>
      <c r="H375" s="219" t="s">
        <v>376</v>
      </c>
    </row>
    <row r="376" spans="2:8">
      <c r="B376" s="217">
        <v>8</v>
      </c>
      <c r="C376" s="217" t="s">
        <v>292</v>
      </c>
      <c r="D376" s="217" t="str">
        <f t="shared" si="20"/>
        <v>8富洲原中学校</v>
      </c>
      <c r="E376" s="218">
        <v>2</v>
      </c>
      <c r="F376" s="219" t="s">
        <v>424</v>
      </c>
      <c r="G376" s="219">
        <v>8</v>
      </c>
      <c r="H376" s="219" t="s">
        <v>376</v>
      </c>
    </row>
    <row r="377" spans="2:8">
      <c r="B377" s="217">
        <v>9</v>
      </c>
      <c r="C377" s="217" t="s">
        <v>292</v>
      </c>
      <c r="D377" s="217" t="str">
        <f t="shared" ref="D377:D440" si="23">B377&amp;C377</f>
        <v>9富洲原中学校</v>
      </c>
      <c r="E377" s="218">
        <v>2</v>
      </c>
      <c r="F377" s="219" t="s">
        <v>429</v>
      </c>
      <c r="G377" s="219">
        <f t="shared" si="21"/>
        <v>6</v>
      </c>
      <c r="H377" s="219" t="str">
        <f t="shared" si="22"/>
        <v>⑥会議室</v>
      </c>
    </row>
    <row r="378" spans="2:8">
      <c r="B378" s="217">
        <v>10</v>
      </c>
      <c r="C378" s="217" t="s">
        <v>292</v>
      </c>
      <c r="D378" s="217" t="str">
        <f t="shared" si="23"/>
        <v>10富洲原中学校</v>
      </c>
      <c r="E378" s="218">
        <v>3</v>
      </c>
      <c r="F378" s="219" t="s">
        <v>462</v>
      </c>
      <c r="G378" s="219">
        <v>8</v>
      </c>
      <c r="H378" s="219" t="s">
        <v>376</v>
      </c>
    </row>
    <row r="379" spans="2:8">
      <c r="B379" s="217">
        <v>11</v>
      </c>
      <c r="C379" s="217" t="s">
        <v>292</v>
      </c>
      <c r="D379" s="217" t="str">
        <f t="shared" si="23"/>
        <v>11富洲原中学校</v>
      </c>
      <c r="E379" s="218">
        <v>1</v>
      </c>
      <c r="F379" s="219" t="s">
        <v>528</v>
      </c>
      <c r="G379" s="219">
        <v>7</v>
      </c>
      <c r="H379" s="219" t="s">
        <v>375</v>
      </c>
    </row>
    <row r="380" spans="2:8">
      <c r="B380" s="217">
        <v>1</v>
      </c>
      <c r="C380" s="217" t="s">
        <v>293</v>
      </c>
      <c r="D380" s="217" t="str">
        <f t="shared" si="23"/>
        <v>1笹川中学校</v>
      </c>
      <c r="E380" s="218">
        <v>2</v>
      </c>
      <c r="F380" s="219" t="s">
        <v>424</v>
      </c>
      <c r="G380" s="219">
        <v>8</v>
      </c>
      <c r="H380" s="219" t="s">
        <v>376</v>
      </c>
    </row>
    <row r="381" spans="2:8">
      <c r="B381" s="217">
        <v>2</v>
      </c>
      <c r="C381" s="217" t="s">
        <v>293</v>
      </c>
      <c r="D381" s="217" t="str">
        <f t="shared" si="23"/>
        <v>2笹川中学校</v>
      </c>
      <c r="E381" s="218">
        <v>1</v>
      </c>
      <c r="F381" s="219" t="s">
        <v>429</v>
      </c>
      <c r="G381" s="219">
        <f t="shared" si="21"/>
        <v>6</v>
      </c>
      <c r="H381" s="219" t="str">
        <f t="shared" si="22"/>
        <v>⑥会議室</v>
      </c>
    </row>
    <row r="382" spans="2:8">
      <c r="B382" s="217">
        <v>1</v>
      </c>
      <c r="C382" s="217" t="s">
        <v>294</v>
      </c>
      <c r="D382" s="217" t="str">
        <f t="shared" si="23"/>
        <v>1三滝中学校</v>
      </c>
      <c r="E382" s="218">
        <v>1</v>
      </c>
      <c r="F382" s="219" t="s">
        <v>394</v>
      </c>
      <c r="G382" s="219">
        <f t="shared" si="21"/>
        <v>3</v>
      </c>
      <c r="H382" s="219" t="str">
        <f t="shared" si="22"/>
        <v>③校長室</v>
      </c>
    </row>
    <row r="383" spans="2:8">
      <c r="B383" s="217">
        <v>2</v>
      </c>
      <c r="C383" s="217" t="s">
        <v>294</v>
      </c>
      <c r="D383" s="217" t="str">
        <f t="shared" si="23"/>
        <v>2三滝中学校</v>
      </c>
      <c r="E383" s="218">
        <v>1</v>
      </c>
      <c r="F383" s="219" t="s">
        <v>395</v>
      </c>
      <c r="G383" s="219">
        <f t="shared" si="21"/>
        <v>2</v>
      </c>
      <c r="H383" s="219" t="str">
        <f t="shared" si="22"/>
        <v>②職員室</v>
      </c>
    </row>
    <row r="384" spans="2:8">
      <c r="B384" s="217">
        <v>3</v>
      </c>
      <c r="C384" s="217" t="s">
        <v>294</v>
      </c>
      <c r="D384" s="217" t="str">
        <f t="shared" si="23"/>
        <v>3三滝中学校</v>
      </c>
      <c r="E384" s="218">
        <v>1</v>
      </c>
      <c r="F384" s="219" t="s">
        <v>397</v>
      </c>
      <c r="G384" s="219">
        <v>7</v>
      </c>
      <c r="H384" s="219" t="s">
        <v>375</v>
      </c>
    </row>
    <row r="385" spans="2:8">
      <c r="B385" s="217">
        <v>4</v>
      </c>
      <c r="C385" s="217" t="s">
        <v>294</v>
      </c>
      <c r="D385" s="217" t="str">
        <f t="shared" si="23"/>
        <v>4三滝中学校</v>
      </c>
      <c r="E385" s="218">
        <v>1</v>
      </c>
      <c r="F385" s="219" t="s">
        <v>399</v>
      </c>
      <c r="G385" s="219">
        <f t="shared" si="21"/>
        <v>5</v>
      </c>
      <c r="H385" s="219" t="str">
        <f t="shared" si="22"/>
        <v>⑤相談室</v>
      </c>
    </row>
    <row r="386" spans="2:8">
      <c r="B386" s="217">
        <v>5</v>
      </c>
      <c r="C386" s="217" t="s">
        <v>294</v>
      </c>
      <c r="D386" s="217" t="str">
        <f t="shared" si="23"/>
        <v>5三滝中学校</v>
      </c>
      <c r="E386" s="218">
        <v>1</v>
      </c>
      <c r="F386" s="219" t="s">
        <v>400</v>
      </c>
      <c r="G386" s="219">
        <f t="shared" si="21"/>
        <v>4</v>
      </c>
      <c r="H386" s="219" t="str">
        <f t="shared" si="22"/>
        <v>④保健室</v>
      </c>
    </row>
    <row r="387" spans="2:8">
      <c r="B387" s="217">
        <v>6</v>
      </c>
      <c r="C387" s="217" t="s">
        <v>294</v>
      </c>
      <c r="D387" s="217" t="str">
        <f t="shared" si="23"/>
        <v>6三滝中学校</v>
      </c>
      <c r="E387" s="218">
        <v>1</v>
      </c>
      <c r="F387" s="219" t="s">
        <v>410</v>
      </c>
      <c r="G387" s="219">
        <v>7</v>
      </c>
      <c r="H387" s="219" t="s">
        <v>375</v>
      </c>
    </row>
    <row r="388" spans="2:8">
      <c r="B388" s="217">
        <v>7</v>
      </c>
      <c r="C388" s="217" t="s">
        <v>294</v>
      </c>
      <c r="D388" s="217" t="str">
        <f t="shared" si="23"/>
        <v>7三滝中学校</v>
      </c>
      <c r="E388" s="218">
        <v>2</v>
      </c>
      <c r="F388" s="219" t="s">
        <v>399</v>
      </c>
      <c r="G388" s="219">
        <f t="shared" si="21"/>
        <v>5</v>
      </c>
      <c r="H388" s="219" t="str">
        <f t="shared" si="22"/>
        <v>⑤相談室</v>
      </c>
    </row>
    <row r="389" spans="2:8">
      <c r="B389" s="217">
        <v>8</v>
      </c>
      <c r="C389" s="217" t="s">
        <v>294</v>
      </c>
      <c r="D389" s="217" t="str">
        <f t="shared" si="23"/>
        <v>8三滝中学校</v>
      </c>
      <c r="E389" s="218">
        <v>3</v>
      </c>
      <c r="F389" s="219" t="s">
        <v>536</v>
      </c>
      <c r="G389" s="219">
        <v>5</v>
      </c>
      <c r="H389" s="219" t="s">
        <v>374</v>
      </c>
    </row>
    <row r="390" spans="2:8">
      <c r="B390" s="217">
        <v>9</v>
      </c>
      <c r="C390" s="217" t="s">
        <v>294</v>
      </c>
      <c r="D390" s="217" t="str">
        <f t="shared" si="23"/>
        <v>9三滝中学校</v>
      </c>
      <c r="E390" s="218">
        <v>4</v>
      </c>
      <c r="F390" s="219" t="s">
        <v>537</v>
      </c>
      <c r="G390" s="219">
        <v>6</v>
      </c>
      <c r="H390" s="219" t="s">
        <v>608</v>
      </c>
    </row>
    <row r="391" spans="2:8">
      <c r="B391" s="217">
        <v>10</v>
      </c>
      <c r="C391" s="217" t="s">
        <v>294</v>
      </c>
      <c r="D391" s="217" t="str">
        <f t="shared" si="23"/>
        <v>10三滝中学校</v>
      </c>
      <c r="E391" s="218">
        <v>1</v>
      </c>
      <c r="F391" s="219" t="s">
        <v>425</v>
      </c>
      <c r="G391" s="219">
        <v>8</v>
      </c>
      <c r="H391" s="219" t="s">
        <v>376</v>
      </c>
    </row>
    <row r="392" spans="2:8">
      <c r="B392" s="217">
        <v>11</v>
      </c>
      <c r="C392" s="217" t="s">
        <v>294</v>
      </c>
      <c r="D392" s="217" t="str">
        <f>B392&amp;C392</f>
        <v>11三滝中学校</v>
      </c>
      <c r="E392" s="218">
        <v>1</v>
      </c>
      <c r="F392" s="219" t="s">
        <v>399</v>
      </c>
      <c r="G392" s="219">
        <f t="shared" si="21"/>
        <v>5</v>
      </c>
      <c r="H392" s="219" t="str">
        <f>IF(F392="校長室",$M$5,IF(F392="職員室",$M$4,IF(F392="保健室",$M$6,IF(F392="相談室",$M$7,IF(F392="会議室",$M$8,"")))))</f>
        <v>⑤相談室</v>
      </c>
    </row>
    <row r="393" spans="2:8">
      <c r="B393" s="217">
        <v>12</v>
      </c>
      <c r="C393" s="217" t="s">
        <v>294</v>
      </c>
      <c r="D393" s="217" t="str">
        <f>B393&amp;C393</f>
        <v>12三滝中学校</v>
      </c>
      <c r="E393" s="218">
        <v>1</v>
      </c>
      <c r="F393" s="219" t="s">
        <v>528</v>
      </c>
      <c r="G393" s="219">
        <v>7</v>
      </c>
      <c r="H393" s="219" t="s">
        <v>375</v>
      </c>
    </row>
    <row r="394" spans="2:8">
      <c r="B394" s="217">
        <v>1</v>
      </c>
      <c r="C394" s="217" t="s">
        <v>295</v>
      </c>
      <c r="D394" s="217" t="str">
        <f t="shared" si="23"/>
        <v>1大池中学校</v>
      </c>
      <c r="E394" s="218">
        <v>2</v>
      </c>
      <c r="F394" s="219" t="s">
        <v>538</v>
      </c>
      <c r="G394" s="219">
        <v>7</v>
      </c>
      <c r="H394" s="219" t="s">
        <v>375</v>
      </c>
    </row>
    <row r="395" spans="2:8">
      <c r="B395" s="217">
        <v>2</v>
      </c>
      <c r="C395" s="217" t="s">
        <v>295</v>
      </c>
      <c r="D395" s="217" t="str">
        <f t="shared" si="23"/>
        <v>2大池中学校</v>
      </c>
      <c r="E395" s="218">
        <v>3</v>
      </c>
      <c r="F395" s="219" t="s">
        <v>425</v>
      </c>
      <c r="G395" s="219">
        <v>8</v>
      </c>
      <c r="H395" s="219" t="s">
        <v>376</v>
      </c>
    </row>
    <row r="396" spans="2:8">
      <c r="B396" s="217">
        <v>3</v>
      </c>
      <c r="C396" s="217" t="s">
        <v>295</v>
      </c>
      <c r="D396" s="217" t="str">
        <f t="shared" si="23"/>
        <v>3大池中学校</v>
      </c>
      <c r="E396" s="218">
        <v>2</v>
      </c>
      <c r="F396" s="219" t="s">
        <v>429</v>
      </c>
      <c r="G396" s="219">
        <f t="shared" si="21"/>
        <v>6</v>
      </c>
      <c r="H396" s="219" t="str">
        <f t="shared" si="22"/>
        <v>⑥会議室</v>
      </c>
    </row>
    <row r="397" spans="2:8">
      <c r="B397" s="217">
        <v>4</v>
      </c>
      <c r="C397" s="217" t="s">
        <v>295</v>
      </c>
      <c r="D397" s="217" t="str">
        <f t="shared" si="23"/>
        <v>4大池中学校</v>
      </c>
      <c r="E397" s="218">
        <v>2</v>
      </c>
      <c r="F397" s="219" t="s">
        <v>424</v>
      </c>
      <c r="G397" s="219">
        <v>8</v>
      </c>
      <c r="H397" s="219" t="s">
        <v>376</v>
      </c>
    </row>
    <row r="398" spans="2:8">
      <c r="B398" s="217">
        <v>5</v>
      </c>
      <c r="C398" s="217" t="s">
        <v>295</v>
      </c>
      <c r="D398" s="217" t="str">
        <f t="shared" si="23"/>
        <v>5大池中学校</v>
      </c>
      <c r="E398" s="218">
        <v>3</v>
      </c>
      <c r="F398" s="219" t="s">
        <v>539</v>
      </c>
      <c r="G398" s="219">
        <v>5</v>
      </c>
      <c r="H398" s="219" t="s">
        <v>374</v>
      </c>
    </row>
    <row r="399" spans="2:8">
      <c r="B399" s="217">
        <v>6</v>
      </c>
      <c r="C399" s="217" t="s">
        <v>295</v>
      </c>
      <c r="D399" s="217" t="str">
        <f t="shared" si="23"/>
        <v>6大池中学校</v>
      </c>
      <c r="E399" s="218">
        <v>1</v>
      </c>
      <c r="F399" s="219" t="s">
        <v>394</v>
      </c>
      <c r="G399" s="219">
        <f t="shared" si="21"/>
        <v>3</v>
      </c>
      <c r="H399" s="219" t="str">
        <f t="shared" si="22"/>
        <v>③校長室</v>
      </c>
    </row>
    <row r="400" spans="2:8">
      <c r="B400" s="217">
        <v>7</v>
      </c>
      <c r="C400" s="217" t="s">
        <v>295</v>
      </c>
      <c r="D400" s="217" t="str">
        <f t="shared" si="23"/>
        <v>7大池中学校</v>
      </c>
      <c r="E400" s="218">
        <v>1</v>
      </c>
      <c r="F400" s="219" t="s">
        <v>395</v>
      </c>
      <c r="G400" s="219">
        <f t="shared" si="21"/>
        <v>2</v>
      </c>
      <c r="H400" s="219" t="str">
        <f t="shared" si="22"/>
        <v>②職員室</v>
      </c>
    </row>
    <row r="401" spans="2:8">
      <c r="B401" s="217">
        <v>8</v>
      </c>
      <c r="C401" s="217" t="s">
        <v>295</v>
      </c>
      <c r="D401" s="217" t="str">
        <f t="shared" si="23"/>
        <v>8大池中学校</v>
      </c>
      <c r="E401" s="218">
        <v>1</v>
      </c>
      <c r="F401" s="219" t="s">
        <v>528</v>
      </c>
      <c r="G401" s="219">
        <v>7</v>
      </c>
      <c r="H401" s="219" t="s">
        <v>375</v>
      </c>
    </row>
    <row r="402" spans="2:8">
      <c r="B402" s="217">
        <v>9</v>
      </c>
      <c r="C402" s="217" t="s">
        <v>295</v>
      </c>
      <c r="D402" s="217" t="str">
        <f t="shared" si="23"/>
        <v>9大池中学校</v>
      </c>
      <c r="E402" s="218">
        <v>1</v>
      </c>
      <c r="F402" s="219" t="s">
        <v>540</v>
      </c>
      <c r="G402" s="219">
        <v>8</v>
      </c>
      <c r="H402" s="219" t="s">
        <v>376</v>
      </c>
    </row>
    <row r="403" spans="2:8">
      <c r="B403" s="217">
        <v>10</v>
      </c>
      <c r="C403" s="217" t="s">
        <v>295</v>
      </c>
      <c r="D403" s="217" t="str">
        <f t="shared" si="23"/>
        <v>10大池中学校</v>
      </c>
      <c r="E403" s="218">
        <v>2</v>
      </c>
      <c r="F403" s="219" t="s">
        <v>399</v>
      </c>
      <c r="G403" s="219">
        <f t="shared" si="21"/>
        <v>5</v>
      </c>
      <c r="H403" s="219" t="str">
        <f t="shared" si="22"/>
        <v>⑤相談室</v>
      </c>
    </row>
    <row r="404" spans="2:8">
      <c r="B404" s="217">
        <v>1</v>
      </c>
      <c r="C404" s="217" t="s">
        <v>296</v>
      </c>
      <c r="D404" s="217" t="str">
        <f t="shared" si="23"/>
        <v>1朝明中学校</v>
      </c>
      <c r="E404" s="218">
        <v>1</v>
      </c>
      <c r="F404" s="219" t="s">
        <v>399</v>
      </c>
      <c r="G404" s="219">
        <f t="shared" si="21"/>
        <v>5</v>
      </c>
      <c r="H404" s="219" t="str">
        <f t="shared" si="22"/>
        <v>⑤相談室</v>
      </c>
    </row>
    <row r="405" spans="2:8">
      <c r="B405" s="217">
        <v>2</v>
      </c>
      <c r="C405" s="217" t="s">
        <v>296</v>
      </c>
      <c r="D405" s="217" t="str">
        <f t="shared" si="23"/>
        <v>2朝明中学校</v>
      </c>
      <c r="E405" s="218">
        <v>2</v>
      </c>
      <c r="F405" s="219" t="s">
        <v>425</v>
      </c>
      <c r="G405" s="219">
        <v>8</v>
      </c>
      <c r="H405" s="219" t="s">
        <v>376</v>
      </c>
    </row>
    <row r="406" spans="2:8">
      <c r="B406" s="217">
        <v>3</v>
      </c>
      <c r="C406" s="217" t="s">
        <v>296</v>
      </c>
      <c r="D406" s="217" t="str">
        <f t="shared" si="23"/>
        <v>3朝明中学校</v>
      </c>
      <c r="E406" s="218">
        <v>1</v>
      </c>
      <c r="F406" s="219" t="s">
        <v>394</v>
      </c>
      <c r="G406" s="219">
        <f t="shared" si="21"/>
        <v>3</v>
      </c>
      <c r="H406" s="219" t="str">
        <f t="shared" si="22"/>
        <v>③校長室</v>
      </c>
    </row>
    <row r="407" spans="2:8">
      <c r="B407" s="217">
        <v>4</v>
      </c>
      <c r="C407" s="217" t="s">
        <v>296</v>
      </c>
      <c r="D407" s="217" t="str">
        <f t="shared" si="23"/>
        <v>4朝明中学校</v>
      </c>
      <c r="E407" s="218">
        <v>1</v>
      </c>
      <c r="F407" s="219" t="s">
        <v>395</v>
      </c>
      <c r="G407" s="219">
        <f t="shared" si="21"/>
        <v>2</v>
      </c>
      <c r="H407" s="219" t="str">
        <f t="shared" si="22"/>
        <v>②職員室</v>
      </c>
    </row>
    <row r="408" spans="2:8">
      <c r="B408" s="217">
        <v>5</v>
      </c>
      <c r="C408" s="217" t="s">
        <v>296</v>
      </c>
      <c r="D408" s="217" t="str">
        <f t="shared" si="23"/>
        <v>5朝明中学校</v>
      </c>
      <c r="E408" s="218">
        <v>1</v>
      </c>
      <c r="F408" s="219" t="s">
        <v>541</v>
      </c>
      <c r="G408" s="219">
        <v>7</v>
      </c>
      <c r="H408" s="219" t="s">
        <v>375</v>
      </c>
    </row>
    <row r="409" spans="2:8">
      <c r="B409" s="217">
        <v>6</v>
      </c>
      <c r="C409" s="217" t="s">
        <v>296</v>
      </c>
      <c r="D409" s="217" t="str">
        <f t="shared" si="23"/>
        <v>6朝明中学校</v>
      </c>
      <c r="E409" s="218">
        <v>1</v>
      </c>
      <c r="F409" s="219" t="s">
        <v>399</v>
      </c>
      <c r="G409" s="219">
        <f t="shared" si="21"/>
        <v>5</v>
      </c>
      <c r="H409" s="219" t="str">
        <f t="shared" si="22"/>
        <v>⑤相談室</v>
      </c>
    </row>
    <row r="410" spans="2:8">
      <c r="B410" s="217">
        <v>7</v>
      </c>
      <c r="C410" s="217" t="s">
        <v>296</v>
      </c>
      <c r="D410" s="217" t="str">
        <f t="shared" si="23"/>
        <v>7朝明中学校</v>
      </c>
      <c r="E410" s="218">
        <v>1</v>
      </c>
      <c r="F410" s="219" t="s">
        <v>399</v>
      </c>
      <c r="G410" s="219">
        <f t="shared" si="21"/>
        <v>5</v>
      </c>
      <c r="H410" s="219" t="str">
        <f t="shared" si="22"/>
        <v>⑤相談室</v>
      </c>
    </row>
    <row r="411" spans="2:8">
      <c r="B411" s="217">
        <v>8</v>
      </c>
      <c r="C411" s="217" t="s">
        <v>296</v>
      </c>
      <c r="D411" s="217" t="str">
        <f t="shared" si="23"/>
        <v>8朝明中学校</v>
      </c>
      <c r="E411" s="218">
        <v>1</v>
      </c>
      <c r="F411" s="219" t="s">
        <v>399</v>
      </c>
      <c r="G411" s="219">
        <f t="shared" si="21"/>
        <v>5</v>
      </c>
      <c r="H411" s="219" t="str">
        <f t="shared" si="22"/>
        <v>⑤相談室</v>
      </c>
    </row>
    <row r="412" spans="2:8">
      <c r="B412" s="217">
        <v>9</v>
      </c>
      <c r="C412" s="217" t="s">
        <v>296</v>
      </c>
      <c r="D412" s="217" t="str">
        <f t="shared" si="23"/>
        <v>9朝明中学校</v>
      </c>
      <c r="E412" s="218">
        <v>1</v>
      </c>
      <c r="F412" s="219" t="s">
        <v>429</v>
      </c>
      <c r="G412" s="219">
        <f t="shared" si="21"/>
        <v>6</v>
      </c>
      <c r="H412" s="219" t="str">
        <f t="shared" si="22"/>
        <v>⑥会議室</v>
      </c>
    </row>
    <row r="413" spans="2:8">
      <c r="B413" s="217">
        <v>10</v>
      </c>
      <c r="C413" s="217" t="s">
        <v>296</v>
      </c>
      <c r="D413" s="217" t="str">
        <f t="shared" si="23"/>
        <v>10朝明中学校</v>
      </c>
      <c r="E413" s="218">
        <v>1</v>
      </c>
      <c r="F413" s="219" t="s">
        <v>400</v>
      </c>
      <c r="G413" s="219">
        <f t="shared" si="21"/>
        <v>4</v>
      </c>
      <c r="H413" s="219" t="str">
        <f t="shared" si="22"/>
        <v>④保健室</v>
      </c>
    </row>
    <row r="414" spans="2:8">
      <c r="B414" s="217">
        <v>11</v>
      </c>
      <c r="C414" s="217" t="s">
        <v>296</v>
      </c>
      <c r="D414" s="217" t="str">
        <f t="shared" si="23"/>
        <v>11朝明中学校</v>
      </c>
      <c r="E414" s="218">
        <v>1</v>
      </c>
      <c r="F414" s="219" t="s">
        <v>528</v>
      </c>
      <c r="G414" s="219">
        <v>7</v>
      </c>
      <c r="H414" s="219" t="s">
        <v>375</v>
      </c>
    </row>
    <row r="415" spans="2:8">
      <c r="B415" s="217">
        <v>12</v>
      </c>
      <c r="C415" s="217" t="s">
        <v>296</v>
      </c>
      <c r="D415" s="217" t="str">
        <f>B415&amp;C415</f>
        <v>12朝明中学校</v>
      </c>
      <c r="E415" s="218">
        <v>2</v>
      </c>
      <c r="F415" s="219" t="s">
        <v>399</v>
      </c>
      <c r="G415" s="219">
        <v>8</v>
      </c>
      <c r="H415" s="219" t="s">
        <v>376</v>
      </c>
    </row>
    <row r="416" spans="2:8">
      <c r="B416" s="217">
        <v>1</v>
      </c>
      <c r="C416" s="217" t="s">
        <v>297</v>
      </c>
      <c r="D416" s="217" t="str">
        <f t="shared" si="23"/>
        <v>1保々中学校</v>
      </c>
      <c r="E416" s="218">
        <v>1</v>
      </c>
      <c r="F416" s="219" t="s">
        <v>400</v>
      </c>
      <c r="G416" s="219">
        <f>IF(F416="校長室",$L$5,IF(F416="職員室",$L$4,IF(F416="保健室",$L$6,IF(F416="相談室",$L$7,IF(F416="会議室",$L$8,"")))))</f>
        <v>4</v>
      </c>
      <c r="H416" s="219" t="str">
        <f>IF(F416="校長室",$M$5,IF(F416="職員室",$M$4,IF(F416="保健室",$M$6,IF(F416="相談室",$M$7,IF(F416="会議室",$M$8,"")))))</f>
        <v>④保健室</v>
      </c>
    </row>
    <row r="417" spans="2:8">
      <c r="B417" s="217">
        <v>2</v>
      </c>
      <c r="C417" s="217" t="s">
        <v>297</v>
      </c>
      <c r="D417" s="217" t="str">
        <f t="shared" si="23"/>
        <v>2保々中学校</v>
      </c>
      <c r="E417" s="218">
        <v>1</v>
      </c>
      <c r="F417" s="481" t="s">
        <v>478</v>
      </c>
      <c r="G417" s="219">
        <v>5</v>
      </c>
      <c r="H417" s="219" t="s">
        <v>574</v>
      </c>
    </row>
    <row r="418" spans="2:8">
      <c r="B418" s="217">
        <v>3</v>
      </c>
      <c r="C418" s="483" t="s">
        <v>297</v>
      </c>
      <c r="D418" s="483" t="str">
        <f t="shared" ref="D418" si="24">B418&amp;C418</f>
        <v>3保々中学校</v>
      </c>
      <c r="E418" s="482">
        <v>1</v>
      </c>
      <c r="F418" s="481" t="s">
        <v>483</v>
      </c>
      <c r="G418" s="481">
        <v>5</v>
      </c>
      <c r="H418" s="481" t="s">
        <v>574</v>
      </c>
    </row>
    <row r="419" spans="2:8">
      <c r="B419" s="217">
        <v>4</v>
      </c>
      <c r="C419" s="217" t="s">
        <v>297</v>
      </c>
      <c r="D419" s="217" t="str">
        <f t="shared" si="23"/>
        <v>4保々中学校</v>
      </c>
      <c r="E419" s="218">
        <v>1</v>
      </c>
      <c r="F419" s="219" t="s">
        <v>542</v>
      </c>
      <c r="G419" s="219">
        <v>7</v>
      </c>
      <c r="H419" s="219" t="s">
        <v>375</v>
      </c>
    </row>
    <row r="420" spans="2:8">
      <c r="B420" s="217">
        <v>5</v>
      </c>
      <c r="C420" s="217" t="s">
        <v>297</v>
      </c>
      <c r="D420" s="217" t="str">
        <f t="shared" si="23"/>
        <v>5保々中学校</v>
      </c>
      <c r="E420" s="218">
        <v>2</v>
      </c>
      <c r="F420" s="219" t="s">
        <v>424</v>
      </c>
      <c r="G420" s="219">
        <v>8</v>
      </c>
      <c r="H420" s="219" t="s">
        <v>376</v>
      </c>
    </row>
    <row r="421" spans="2:8">
      <c r="B421" s="217">
        <v>6</v>
      </c>
      <c r="C421" s="217" t="s">
        <v>297</v>
      </c>
      <c r="D421" s="217" t="str">
        <f t="shared" si="23"/>
        <v>6保々中学校</v>
      </c>
      <c r="E421" s="218">
        <v>2</v>
      </c>
      <c r="F421" s="219" t="s">
        <v>399</v>
      </c>
      <c r="G421" s="219">
        <f>IF(F421="校長室",$L$5,IF(F421="職員室",$L$4,IF(F421="保健室",$L$6,IF(F421="相談室",$L$7,IF(F421="会議室",$L$8,"")))))</f>
        <v>5</v>
      </c>
      <c r="H421" s="219" t="str">
        <f>IF(F421="校長室",$M$5,IF(F421="職員室",$M$4,IF(F421="保健室",$M$6,IF(F421="相談室",$M$7,IF(F421="会議室",$M$8,"")))))</f>
        <v>⑤相談室</v>
      </c>
    </row>
    <row r="422" spans="2:8">
      <c r="B422" s="217">
        <v>7</v>
      </c>
      <c r="C422" s="217" t="s">
        <v>297</v>
      </c>
      <c r="D422" s="217" t="str">
        <f t="shared" si="23"/>
        <v>7保々中学校</v>
      </c>
      <c r="E422" s="218">
        <v>3</v>
      </c>
      <c r="F422" s="219" t="s">
        <v>425</v>
      </c>
      <c r="G422" s="219">
        <v>8</v>
      </c>
      <c r="H422" s="219" t="s">
        <v>376</v>
      </c>
    </row>
    <row r="423" spans="2:8">
      <c r="B423" s="217">
        <v>8</v>
      </c>
      <c r="C423" s="217" t="s">
        <v>297</v>
      </c>
      <c r="D423" s="217" t="str">
        <f t="shared" si="23"/>
        <v>8保々中学校</v>
      </c>
      <c r="E423" s="218">
        <v>1</v>
      </c>
      <c r="F423" s="219" t="s">
        <v>395</v>
      </c>
      <c r="G423" s="219">
        <f>IF(F423="校長室",$L$5,IF(F423="職員室",$L$4,IF(F423="保健室",$L$6,IF(F423="相談室",$L$7,IF(F423="会議室",$L$8,"")))))</f>
        <v>2</v>
      </c>
      <c r="H423" s="219" t="str">
        <f>IF(F423="校長室",$M$5,IF(F423="職員室",$M$4,IF(F423="保健室",$M$6,IF(F423="相談室",$M$7,IF(F423="会議室",$M$8,"")))))</f>
        <v>②職員室</v>
      </c>
    </row>
    <row r="424" spans="2:8">
      <c r="B424" s="217">
        <v>9</v>
      </c>
      <c r="C424" s="217" t="s">
        <v>297</v>
      </c>
      <c r="D424" s="217" t="str">
        <f>B424&amp;C424</f>
        <v>9保々中学校</v>
      </c>
      <c r="E424" s="218">
        <v>1</v>
      </c>
      <c r="F424" s="219" t="s">
        <v>394</v>
      </c>
      <c r="G424" s="219">
        <f>IF(F424="校長室",$L$5,IF(F424="職員室",$L$4,IF(F424="保健室",$L$6,IF(F424="相談室",$L$7,IF(F424="会議室",$L$8,"")))))</f>
        <v>3</v>
      </c>
      <c r="H424" s="219" t="str">
        <f>IF(F424="校長室",$M$5,IF(F424="職員室",$M$4,IF(F424="保健室",$M$6,IF(F424="相談室",$M$7,IF(F424="会議室",$M$8,"")))))</f>
        <v>③校長室</v>
      </c>
    </row>
    <row r="425" spans="2:8">
      <c r="B425" s="217">
        <v>10</v>
      </c>
      <c r="C425" s="217" t="s">
        <v>297</v>
      </c>
      <c r="D425" s="217" t="str">
        <f>B425&amp;C425</f>
        <v>10保々中学校</v>
      </c>
      <c r="E425" s="218">
        <v>1</v>
      </c>
      <c r="F425" s="219" t="s">
        <v>528</v>
      </c>
      <c r="G425" s="219">
        <v>7</v>
      </c>
      <c r="H425" s="219" t="s">
        <v>375</v>
      </c>
    </row>
    <row r="426" spans="2:8">
      <c r="B426" s="217">
        <v>1</v>
      </c>
      <c r="C426" s="217" t="s">
        <v>298</v>
      </c>
      <c r="D426" s="217" t="str">
        <f t="shared" si="23"/>
        <v>1常磐中学校</v>
      </c>
      <c r="E426" s="218">
        <v>1</v>
      </c>
      <c r="F426" s="219" t="s">
        <v>394</v>
      </c>
      <c r="G426" s="219">
        <f>IF(F426="校長室",$L$5,IF(F426="職員室",$L$4,IF(F426="保健室",$L$6,IF(F426="相談室",$L$7,IF(F426="会議室",$L$8,"")))))</f>
        <v>3</v>
      </c>
      <c r="H426" s="219" t="str">
        <f>IF(F426="校長室",$M$5,IF(F426="職員室",$M$4,IF(F426="保健室",$M$6,IF(F426="相談室",$M$7,IF(F426="会議室",$M$8,"")))))</f>
        <v>③校長室</v>
      </c>
    </row>
    <row r="427" spans="2:8">
      <c r="B427" s="217">
        <v>2</v>
      </c>
      <c r="C427" s="217" t="s">
        <v>298</v>
      </c>
      <c r="D427" s="217" t="str">
        <f t="shared" si="23"/>
        <v>2常磐中学校</v>
      </c>
      <c r="E427" s="218">
        <v>1</v>
      </c>
      <c r="F427" s="219" t="s">
        <v>395</v>
      </c>
      <c r="G427" s="219">
        <f>IF(F427="校長室",$L$5,IF(F427="職員室",$L$4,IF(F427="保健室",$L$6,IF(F427="相談室",$L$7,IF(F427="会議室",$L$8,"")))))</f>
        <v>2</v>
      </c>
      <c r="H427" s="219" t="str">
        <f>IF(F427="校長室",$M$5,IF(F427="職員室",$M$4,IF(F427="保健室",$M$6,IF(F427="相談室",$M$7,IF(F427="会議室",$M$8,"")))))</f>
        <v>②職員室</v>
      </c>
    </row>
    <row r="428" spans="2:8">
      <c r="B428" s="217">
        <v>3</v>
      </c>
      <c r="C428" s="217" t="s">
        <v>298</v>
      </c>
      <c r="D428" s="217" t="str">
        <f t="shared" si="23"/>
        <v>3常磐中学校</v>
      </c>
      <c r="E428" s="218">
        <v>1</v>
      </c>
      <c r="F428" s="219" t="s">
        <v>543</v>
      </c>
      <c r="G428" s="219">
        <v>7</v>
      </c>
      <c r="H428" s="219" t="s">
        <v>375</v>
      </c>
    </row>
    <row r="429" spans="2:8">
      <c r="B429" s="217">
        <v>4</v>
      </c>
      <c r="C429" s="217" t="s">
        <v>298</v>
      </c>
      <c r="D429" s="217" t="str">
        <f t="shared" si="23"/>
        <v>4常磐中学校</v>
      </c>
      <c r="E429" s="218">
        <v>1</v>
      </c>
      <c r="F429" s="219" t="s">
        <v>448</v>
      </c>
      <c r="G429" s="219">
        <v>1</v>
      </c>
      <c r="H429" s="219" t="s">
        <v>421</v>
      </c>
    </row>
    <row r="430" spans="2:8">
      <c r="B430" s="217">
        <v>5</v>
      </c>
      <c r="C430" s="217" t="s">
        <v>298</v>
      </c>
      <c r="D430" s="217" t="str">
        <f t="shared" si="23"/>
        <v>5常磐中学校</v>
      </c>
      <c r="E430" s="218">
        <v>1</v>
      </c>
      <c r="F430" s="219" t="s">
        <v>544</v>
      </c>
      <c r="G430" s="219">
        <v>8</v>
      </c>
      <c r="H430" s="219" t="s">
        <v>376</v>
      </c>
    </row>
    <row r="431" spans="2:8">
      <c r="B431" s="217">
        <v>6</v>
      </c>
      <c r="C431" s="217" t="s">
        <v>298</v>
      </c>
      <c r="D431" s="217" t="str">
        <f t="shared" si="23"/>
        <v>6常磐中学校</v>
      </c>
      <c r="E431" s="218">
        <v>2</v>
      </c>
      <c r="F431" s="219" t="s">
        <v>545</v>
      </c>
      <c r="G431" s="219">
        <v>8</v>
      </c>
      <c r="H431" s="219" t="s">
        <v>376</v>
      </c>
    </row>
    <row r="432" spans="2:8">
      <c r="B432" s="217">
        <v>7</v>
      </c>
      <c r="C432" s="217" t="s">
        <v>298</v>
      </c>
      <c r="D432" s="217" t="str">
        <f t="shared" si="23"/>
        <v>7常磐中学校</v>
      </c>
      <c r="E432" s="218">
        <v>3</v>
      </c>
      <c r="F432" s="219" t="s">
        <v>545</v>
      </c>
      <c r="G432" s="219">
        <v>8</v>
      </c>
      <c r="H432" s="219" t="s">
        <v>376</v>
      </c>
    </row>
    <row r="433" spans="2:8">
      <c r="B433" s="217">
        <v>8</v>
      </c>
      <c r="C433" s="217" t="s">
        <v>298</v>
      </c>
      <c r="D433" s="217" t="str">
        <f t="shared" si="23"/>
        <v>8常磐中学校</v>
      </c>
      <c r="E433" s="218">
        <v>1</v>
      </c>
      <c r="F433" s="219" t="s">
        <v>425</v>
      </c>
      <c r="G433" s="219">
        <v>8</v>
      </c>
      <c r="H433" s="219" t="s">
        <v>376</v>
      </c>
    </row>
    <row r="434" spans="2:8">
      <c r="B434" s="217">
        <v>9</v>
      </c>
      <c r="C434" s="217" t="s">
        <v>298</v>
      </c>
      <c r="D434" s="217" t="str">
        <f t="shared" si="23"/>
        <v>9常磐中学校</v>
      </c>
      <c r="E434" s="218">
        <v>1</v>
      </c>
      <c r="F434" s="219" t="s">
        <v>400</v>
      </c>
      <c r="G434" s="219">
        <f>IF(F434="校長室",$L$5,IF(F434="職員室",$L$4,IF(F434="保健室",$L$6,IF(F434="相談室",$L$7,IF(F434="会議室",$L$8,"")))))</f>
        <v>4</v>
      </c>
      <c r="H434" s="219" t="str">
        <f>IF(F434="校長室",$M$5,IF(F434="職員室",$M$4,IF(F434="保健室",$M$6,IF(F434="相談室",$M$7,IF(F434="会議室",$M$8,"")))))</f>
        <v>④保健室</v>
      </c>
    </row>
    <row r="435" spans="2:8">
      <c r="B435" s="217">
        <v>10</v>
      </c>
      <c r="C435" s="217" t="s">
        <v>298</v>
      </c>
      <c r="D435" s="217" t="str">
        <f t="shared" si="23"/>
        <v>10常磐中学校</v>
      </c>
      <c r="E435" s="218">
        <v>1</v>
      </c>
      <c r="F435" s="219" t="s">
        <v>528</v>
      </c>
      <c r="G435" s="219">
        <v>7</v>
      </c>
      <c r="H435" s="219" t="s">
        <v>375</v>
      </c>
    </row>
    <row r="436" spans="2:8">
      <c r="B436" s="217">
        <v>1</v>
      </c>
      <c r="C436" s="217" t="s">
        <v>299</v>
      </c>
      <c r="D436" s="217" t="str">
        <f t="shared" si="23"/>
        <v>1西陵中学校</v>
      </c>
      <c r="E436" s="218">
        <v>1</v>
      </c>
      <c r="F436" s="219" t="s">
        <v>394</v>
      </c>
      <c r="G436" s="219">
        <f>IF(F436="校長室",$L$5,IF(F436="職員室",$L$4,IF(F436="保健室",$L$6,IF(F436="相談室",$L$7,IF(F436="会議室",$L$8,"")))))</f>
        <v>3</v>
      </c>
      <c r="H436" s="219" t="str">
        <f>IF(F436="校長室",$M$5,IF(F436="職員室",$M$4,IF(F436="保健室",$M$6,IF(F436="相談室",$M$7,IF(F436="会議室",$M$8,"")))))</f>
        <v>③校長室</v>
      </c>
    </row>
    <row r="437" spans="2:8">
      <c r="B437" s="217">
        <v>2</v>
      </c>
      <c r="C437" s="217" t="s">
        <v>299</v>
      </c>
      <c r="D437" s="217" t="str">
        <f t="shared" si="23"/>
        <v>2西陵中学校</v>
      </c>
      <c r="E437" s="218">
        <v>1</v>
      </c>
      <c r="F437" s="219" t="s">
        <v>395</v>
      </c>
      <c r="G437" s="219">
        <f>IF(F437="校長室",$L$5,IF(F437="職員室",$L$4,IF(F437="保健室",$L$6,IF(F437="相談室",$L$7,IF(F437="会議室",$L$8,"")))))</f>
        <v>2</v>
      </c>
      <c r="H437" s="219" t="str">
        <f>IF(F437="校長室",$M$5,IF(F437="職員室",$M$4,IF(F437="保健室",$M$6,IF(F437="相談室",$M$7,IF(F437="会議室",$M$8,"")))))</f>
        <v>②職員室</v>
      </c>
    </row>
    <row r="438" spans="2:8">
      <c r="B438" s="217">
        <v>3</v>
      </c>
      <c r="C438" s="217" t="s">
        <v>299</v>
      </c>
      <c r="D438" s="217" t="str">
        <f t="shared" si="23"/>
        <v>3西陵中学校</v>
      </c>
      <c r="E438" s="218">
        <v>1</v>
      </c>
      <c r="F438" s="219" t="s">
        <v>400</v>
      </c>
      <c r="G438" s="219">
        <f>IF(F438="校長室",$L$5,IF(F438="職員室",$L$4,IF(F438="保健室",$L$6,IF(F438="相談室",$L$7,IF(F438="会議室",$L$8,"")))))</f>
        <v>4</v>
      </c>
      <c r="H438" s="219" t="str">
        <f>IF(F438="校長室",$M$5,IF(F438="職員室",$M$4,IF(F438="保健室",$M$6,IF(F438="相談室",$M$7,IF(F438="会議室",$M$8,"")))))</f>
        <v>④保健室</v>
      </c>
    </row>
    <row r="439" spans="2:8">
      <c r="B439" s="217">
        <v>4</v>
      </c>
      <c r="C439" s="217" t="s">
        <v>299</v>
      </c>
      <c r="D439" s="217" t="str">
        <f t="shared" si="23"/>
        <v>4西陵中学校</v>
      </c>
      <c r="E439" s="218">
        <v>1</v>
      </c>
      <c r="F439" s="219" t="s">
        <v>546</v>
      </c>
      <c r="G439" s="219">
        <v>5</v>
      </c>
      <c r="H439" s="219" t="s">
        <v>374</v>
      </c>
    </row>
    <row r="440" spans="2:8">
      <c r="B440" s="217">
        <v>5</v>
      </c>
      <c r="C440" s="217" t="s">
        <v>299</v>
      </c>
      <c r="D440" s="217" t="str">
        <f t="shared" si="23"/>
        <v>5西陵中学校</v>
      </c>
      <c r="E440" s="218">
        <v>1</v>
      </c>
      <c r="F440" s="219" t="s">
        <v>399</v>
      </c>
      <c r="G440" s="219">
        <f>IF(F440="校長室",$L$5,IF(F440="職員室",$L$4,IF(F440="保健室",$L$6,IF(F440="相談室",$L$7,IF(F440="会議室",$L$8,"")))))</f>
        <v>5</v>
      </c>
      <c r="H440" s="219" t="str">
        <f>IF(F440="校長室",$M$5,IF(F440="職員室",$M$4,IF(F440="保健室",$M$6,IF(F440="相談室",$M$7,IF(F440="会議室",$M$8,"")))))</f>
        <v>⑤相談室</v>
      </c>
    </row>
    <row r="441" spans="2:8">
      <c r="B441" s="217">
        <v>6</v>
      </c>
      <c r="C441" s="217" t="s">
        <v>299</v>
      </c>
      <c r="D441" s="217" t="str">
        <f t="shared" ref="D441:D504" si="25">B441&amp;C441</f>
        <v>6西陵中学校</v>
      </c>
      <c r="E441" s="218">
        <v>1</v>
      </c>
      <c r="F441" s="219" t="s">
        <v>547</v>
      </c>
      <c r="G441" s="219">
        <v>5</v>
      </c>
      <c r="H441" s="219" t="s">
        <v>374</v>
      </c>
    </row>
    <row r="442" spans="2:8">
      <c r="B442" s="217">
        <v>7</v>
      </c>
      <c r="C442" s="217" t="s">
        <v>299</v>
      </c>
      <c r="D442" s="217" t="str">
        <f t="shared" si="25"/>
        <v>7西陵中学校</v>
      </c>
      <c r="E442" s="218">
        <v>2</v>
      </c>
      <c r="F442" s="219" t="s">
        <v>548</v>
      </c>
      <c r="G442" s="219">
        <v>5</v>
      </c>
      <c r="H442" s="219" t="s">
        <v>374</v>
      </c>
    </row>
    <row r="443" spans="2:8">
      <c r="B443" s="217">
        <v>8</v>
      </c>
      <c r="C443" s="217" t="s">
        <v>299</v>
      </c>
      <c r="D443" s="217" t="str">
        <f t="shared" si="25"/>
        <v>8西陵中学校</v>
      </c>
      <c r="E443" s="218">
        <v>2</v>
      </c>
      <c r="F443" s="219" t="s">
        <v>424</v>
      </c>
      <c r="G443" s="219">
        <v>8</v>
      </c>
      <c r="H443" s="219" t="s">
        <v>376</v>
      </c>
    </row>
    <row r="444" spans="2:8">
      <c r="B444" s="217">
        <v>9</v>
      </c>
      <c r="C444" s="217" t="s">
        <v>299</v>
      </c>
      <c r="D444" s="217" t="str">
        <f t="shared" si="25"/>
        <v>9西陵中学校</v>
      </c>
      <c r="E444" s="218">
        <v>3</v>
      </c>
      <c r="F444" s="219" t="s">
        <v>406</v>
      </c>
      <c r="G444" s="219">
        <v>8</v>
      </c>
      <c r="H444" s="219" t="s">
        <v>376</v>
      </c>
    </row>
    <row r="445" spans="2:8">
      <c r="B445" s="217">
        <v>10</v>
      </c>
      <c r="C445" s="217" t="s">
        <v>299</v>
      </c>
      <c r="D445" s="217" t="str">
        <f t="shared" si="25"/>
        <v>10西陵中学校</v>
      </c>
      <c r="E445" s="218">
        <v>1</v>
      </c>
      <c r="F445" s="219" t="s">
        <v>399</v>
      </c>
      <c r="G445" s="219">
        <f>IF(F445="校長室",$L$5,IF(F445="職員室",$L$4,IF(F445="保健室",$L$6,IF(F445="相談室",$L$7,IF(F445="会議室",$L$8,"")))))</f>
        <v>5</v>
      </c>
      <c r="H445" s="219" t="str">
        <f>IF(F445="校長室",$M$5,IF(F445="職員室",$M$4,IF(F445="保健室",$M$6,IF(F445="相談室",$M$7,IF(F445="会議室",$M$8,"")))))</f>
        <v>⑤相談室</v>
      </c>
    </row>
    <row r="446" spans="2:8">
      <c r="B446" s="217">
        <v>11</v>
      </c>
      <c r="C446" s="217" t="s">
        <v>299</v>
      </c>
      <c r="D446" s="217" t="str">
        <f t="shared" si="25"/>
        <v>11西陵中学校</v>
      </c>
      <c r="E446" s="218">
        <v>1</v>
      </c>
      <c r="F446" s="219" t="s">
        <v>528</v>
      </c>
      <c r="G446" s="219">
        <v>7</v>
      </c>
      <c r="H446" s="219" t="s">
        <v>375</v>
      </c>
    </row>
    <row r="447" spans="2:8">
      <c r="B447" s="217">
        <v>1</v>
      </c>
      <c r="C447" s="217" t="s">
        <v>300</v>
      </c>
      <c r="D447" s="217" t="str">
        <f t="shared" si="25"/>
        <v>1西笹川中学校</v>
      </c>
      <c r="E447" s="218">
        <v>2</v>
      </c>
      <c r="F447" s="219" t="s">
        <v>394</v>
      </c>
      <c r="G447" s="219">
        <f>IF(F447="校長室",$L$5,IF(F447="職員室",$L$4,IF(F447="保健室",$L$6,IF(F447="相談室",$L$7,IF(F447="会議室",$L$8,"")))))</f>
        <v>3</v>
      </c>
      <c r="H447" s="219" t="str">
        <f>IF(F447="校長室",$M$5,IF(F447="職員室",$M$4,IF(F447="保健室",$M$6,IF(F447="相談室",$M$7,IF(F447="会議室",$M$8,"")))))</f>
        <v>③校長室</v>
      </c>
    </row>
    <row r="448" spans="2:8">
      <c r="B448" s="217">
        <v>2</v>
      </c>
      <c r="C448" s="217" t="s">
        <v>300</v>
      </c>
      <c r="D448" s="217" t="str">
        <f t="shared" si="25"/>
        <v>2西笹川中学校</v>
      </c>
      <c r="E448" s="218">
        <v>2</v>
      </c>
      <c r="F448" s="219" t="s">
        <v>395</v>
      </c>
      <c r="G448" s="219">
        <f>IF(F448="校長室",$L$5,IF(F448="職員室",$L$4,IF(F448="保健室",$L$6,IF(F448="相談室",$L$7,IF(F448="会議室",$L$8,"")))))</f>
        <v>2</v>
      </c>
      <c r="H448" s="219" t="str">
        <f>IF(F448="校長室",$M$5,IF(F448="職員室",$M$4,IF(F448="保健室",$M$6,IF(F448="相談室",$M$7,IF(F448="会議室",$M$8,"")))))</f>
        <v>②職員室</v>
      </c>
    </row>
    <row r="449" spans="2:8">
      <c r="B449" s="217">
        <v>3</v>
      </c>
      <c r="C449" s="217" t="s">
        <v>300</v>
      </c>
      <c r="D449" s="217" t="str">
        <f t="shared" si="25"/>
        <v>3西笹川中学校</v>
      </c>
      <c r="E449" s="218">
        <v>1</v>
      </c>
      <c r="F449" s="219" t="s">
        <v>549</v>
      </c>
      <c r="G449" s="219">
        <v>8</v>
      </c>
      <c r="H449" s="219" t="s">
        <v>376</v>
      </c>
    </row>
    <row r="450" spans="2:8">
      <c r="B450" s="217">
        <v>4</v>
      </c>
      <c r="C450" s="217" t="s">
        <v>300</v>
      </c>
      <c r="D450" s="217" t="str">
        <f t="shared" si="25"/>
        <v>4西笹川中学校</v>
      </c>
      <c r="E450" s="218">
        <v>2</v>
      </c>
      <c r="F450" s="219" t="s">
        <v>550</v>
      </c>
      <c r="G450" s="219">
        <v>5</v>
      </c>
      <c r="H450" s="219" t="s">
        <v>374</v>
      </c>
    </row>
    <row r="451" spans="2:8">
      <c r="B451" s="217">
        <v>5</v>
      </c>
      <c r="C451" s="217" t="s">
        <v>300</v>
      </c>
      <c r="D451" s="217" t="str">
        <f t="shared" si="25"/>
        <v>5西笹川中学校</v>
      </c>
      <c r="E451" s="218">
        <v>2</v>
      </c>
      <c r="F451" s="219" t="s">
        <v>551</v>
      </c>
      <c r="G451" s="219">
        <v>5</v>
      </c>
      <c r="H451" s="219" t="s">
        <v>374</v>
      </c>
    </row>
    <row r="452" spans="2:8">
      <c r="B452" s="217">
        <v>6</v>
      </c>
      <c r="C452" s="217" t="s">
        <v>300</v>
      </c>
      <c r="D452" s="217" t="str">
        <f t="shared" si="25"/>
        <v>6西笹川中学校</v>
      </c>
      <c r="E452" s="218">
        <v>2</v>
      </c>
      <c r="F452" s="219" t="s">
        <v>429</v>
      </c>
      <c r="G452" s="219">
        <f>IF(F452="校長室",$L$5,IF(F452="職員室",$L$4,IF(F452="保健室",$L$6,IF(F452="相談室",$L$7,IF(F452="会議室",$L$8,"")))))</f>
        <v>6</v>
      </c>
      <c r="H452" s="219" t="str">
        <f>IF(F452="校長室",$M$5,IF(F452="職員室",$M$4,IF(F452="保健室",$M$6,IF(F452="相談室",$M$7,IF(F452="会議室",$M$8,"")))))</f>
        <v>⑥会議室</v>
      </c>
    </row>
    <row r="453" spans="2:8">
      <c r="B453" s="217">
        <v>7</v>
      </c>
      <c r="C453" s="217" t="s">
        <v>300</v>
      </c>
      <c r="D453" s="217" t="str">
        <f t="shared" si="25"/>
        <v>7西笹川中学校</v>
      </c>
      <c r="E453" s="218">
        <v>3</v>
      </c>
      <c r="F453" s="219" t="s">
        <v>435</v>
      </c>
      <c r="G453" s="219">
        <v>8</v>
      </c>
      <c r="H453" s="219" t="s">
        <v>376</v>
      </c>
    </row>
    <row r="454" spans="2:8">
      <c r="B454" s="217">
        <v>8</v>
      </c>
      <c r="C454" s="217" t="s">
        <v>300</v>
      </c>
      <c r="D454" s="217" t="str">
        <f t="shared" si="25"/>
        <v>8西笹川中学校</v>
      </c>
      <c r="E454" s="218">
        <v>3</v>
      </c>
      <c r="F454" s="219" t="s">
        <v>425</v>
      </c>
      <c r="G454" s="219">
        <v>8</v>
      </c>
      <c r="H454" s="219" t="s">
        <v>376</v>
      </c>
    </row>
    <row r="455" spans="2:8">
      <c r="B455" s="217">
        <v>9</v>
      </c>
      <c r="C455" s="217" t="s">
        <v>300</v>
      </c>
      <c r="D455" s="217" t="str">
        <f t="shared" si="25"/>
        <v>9西笹川中学校</v>
      </c>
      <c r="E455" s="218">
        <v>1</v>
      </c>
      <c r="F455" s="219" t="s">
        <v>400</v>
      </c>
      <c r="G455" s="219">
        <f>IF(F455="校長室",$L$5,IF(F455="職員室",$L$4,IF(F455="保健室",$L$6,IF(F455="相談室",$L$7,IF(F455="会議室",$L$8,"")))))</f>
        <v>4</v>
      </c>
      <c r="H455" s="219" t="str">
        <f>IF(F455="校長室",$M$5,IF(F455="職員室",$M$4,IF(F455="保健室",$M$6,IF(F455="相談室",$M$7,IF(F455="会議室",$M$8,"")))))</f>
        <v>④保健室</v>
      </c>
    </row>
    <row r="456" spans="2:8">
      <c r="B456" s="217">
        <v>10</v>
      </c>
      <c r="C456" s="217" t="s">
        <v>300</v>
      </c>
      <c r="D456" s="217" t="str">
        <f t="shared" si="25"/>
        <v>10西笹川中学校</v>
      </c>
      <c r="E456" s="218">
        <v>1</v>
      </c>
      <c r="F456" s="219" t="s">
        <v>554</v>
      </c>
      <c r="G456" s="219">
        <v>6</v>
      </c>
      <c r="H456" s="219" t="s">
        <v>373</v>
      </c>
    </row>
    <row r="457" spans="2:8">
      <c r="B457" s="217">
        <v>11</v>
      </c>
      <c r="C457" s="217" t="s">
        <v>300</v>
      </c>
      <c r="D457" s="217" t="str">
        <f t="shared" si="25"/>
        <v>11西笹川中学校</v>
      </c>
      <c r="E457" s="218">
        <v>1</v>
      </c>
      <c r="F457" s="219" t="s">
        <v>552</v>
      </c>
      <c r="G457" s="219">
        <v>5</v>
      </c>
      <c r="H457" s="219" t="s">
        <v>374</v>
      </c>
    </row>
    <row r="458" spans="2:8">
      <c r="B458" s="217">
        <v>12</v>
      </c>
      <c r="C458" s="217" t="s">
        <v>300</v>
      </c>
      <c r="D458" s="217" t="str">
        <f t="shared" si="25"/>
        <v>12西笹川中学校</v>
      </c>
      <c r="E458" s="218">
        <v>1</v>
      </c>
      <c r="F458" s="219" t="s">
        <v>528</v>
      </c>
      <c r="G458" s="219">
        <v>7</v>
      </c>
      <c r="H458" s="219" t="s">
        <v>375</v>
      </c>
    </row>
    <row r="459" spans="2:8">
      <c r="B459" s="217">
        <v>13</v>
      </c>
      <c r="C459" s="217" t="s">
        <v>300</v>
      </c>
      <c r="D459" s="217" t="str">
        <f t="shared" si="25"/>
        <v>13西笹川中学校</v>
      </c>
      <c r="E459" s="218">
        <v>1</v>
      </c>
      <c r="F459" s="219" t="s">
        <v>553</v>
      </c>
      <c r="G459" s="219">
        <f>IF(F459="校長室",$L$5,IF(F459="職員室",$L$4,IF(F459="保健室",$L$6,IF(F459="相談室",$L$7,IF(F459="会議室",$L$8,"")))))</f>
        <v>5</v>
      </c>
      <c r="H459" s="219" t="str">
        <f>IF(F459="校長室",$M$5,IF(F459="職員室",$M$4,IF(F459="保健室",$M$6,IF(F459="相談室",$M$7,IF(F459="会議室",$M$8,"")))))</f>
        <v>⑤相談室</v>
      </c>
    </row>
    <row r="460" spans="2:8">
      <c r="B460" s="217">
        <v>1</v>
      </c>
      <c r="C460" s="217" t="s">
        <v>301</v>
      </c>
      <c r="D460" s="217" t="str">
        <f t="shared" si="25"/>
        <v>1三重平中学校</v>
      </c>
      <c r="E460" s="218">
        <v>1</v>
      </c>
      <c r="F460" s="219" t="s">
        <v>394</v>
      </c>
      <c r="G460" s="219">
        <f>IF(F460="校長室",$L$5,IF(F460="職員室",$L$4,IF(F460="保健室",$L$6,IF(F460="相談室",$L$7,IF(F460="会議室",$L$8,"")))))</f>
        <v>3</v>
      </c>
      <c r="H460" s="219" t="str">
        <f>IF(F460="校長室",$M$5,IF(F460="職員室",$M$4,IF(F460="保健室",$M$6,IF(F460="相談室",$M$7,IF(F460="会議室",$M$8,"")))))</f>
        <v>③校長室</v>
      </c>
    </row>
    <row r="461" spans="2:8">
      <c r="B461" s="217">
        <v>2</v>
      </c>
      <c r="C461" s="217" t="s">
        <v>301</v>
      </c>
      <c r="D461" s="217" t="str">
        <f t="shared" si="25"/>
        <v>2三重平中学校</v>
      </c>
      <c r="E461" s="218">
        <v>1</v>
      </c>
      <c r="F461" s="219" t="s">
        <v>395</v>
      </c>
      <c r="G461" s="219">
        <f>IF(F461="校長室",$L$5,IF(F461="職員室",$L$4,IF(F461="保健室",$L$6,IF(F461="相談室",$L$7,IF(F461="会議室",$L$8,"")))))</f>
        <v>2</v>
      </c>
      <c r="H461" s="219" t="str">
        <f>IF(F461="校長室",$M$5,IF(F461="職員室",$M$4,IF(F461="保健室",$M$6,IF(F461="相談室",$M$7,IF(F461="会議室",$M$8,"")))))</f>
        <v>②職員室</v>
      </c>
    </row>
    <row r="462" spans="2:8">
      <c r="B462" s="217">
        <v>3</v>
      </c>
      <c r="C462" s="217" t="s">
        <v>301</v>
      </c>
      <c r="D462" s="217" t="str">
        <f t="shared" si="25"/>
        <v>3三重平中学校</v>
      </c>
      <c r="E462" s="218">
        <v>1</v>
      </c>
      <c r="F462" s="219" t="s">
        <v>399</v>
      </c>
      <c r="G462" s="219">
        <f>IF(F462="校長室",$L$5,IF(F462="職員室",$L$4,IF(F462="保健室",$L$6,IF(F462="相談室",$L$7,IF(F462="会議室",$L$8,"")))))</f>
        <v>5</v>
      </c>
      <c r="H462" s="219" t="str">
        <f>IF(F462="校長室",$M$5,IF(F462="職員室",$M$4,IF(F462="保健室",$M$6,IF(F462="相談室",$M$7,IF(F462="会議室",$M$8,"")))))</f>
        <v>⑤相談室</v>
      </c>
    </row>
    <row r="463" spans="2:8">
      <c r="B463" s="217">
        <v>4</v>
      </c>
      <c r="C463" s="217" t="s">
        <v>301</v>
      </c>
      <c r="D463" s="217" t="str">
        <f t="shared" si="25"/>
        <v>4三重平中学校</v>
      </c>
      <c r="E463" s="218">
        <v>1</v>
      </c>
      <c r="F463" s="219" t="s">
        <v>399</v>
      </c>
      <c r="G463" s="219">
        <f>IF(F463="校長室",$L$5,IF(F463="職員室",$L$4,IF(F463="保健室",$L$6,IF(F463="相談室",$L$7,IF(F463="会議室",$L$8,"")))))</f>
        <v>5</v>
      </c>
      <c r="H463" s="219" t="str">
        <f>IF(F463="校長室",$M$5,IF(F463="職員室",$M$4,IF(F463="保健室",$M$6,IF(F463="相談室",$M$7,IF(F463="会議室",$M$8,"")))))</f>
        <v>⑤相談室</v>
      </c>
    </row>
    <row r="464" spans="2:8">
      <c r="B464" s="217">
        <v>5</v>
      </c>
      <c r="C464" s="217" t="s">
        <v>301</v>
      </c>
      <c r="D464" s="217" t="str">
        <f t="shared" si="25"/>
        <v>5三重平中学校</v>
      </c>
      <c r="E464" s="218">
        <v>1</v>
      </c>
      <c r="F464" s="219" t="s">
        <v>555</v>
      </c>
      <c r="G464" s="219">
        <v>6</v>
      </c>
      <c r="H464" s="219" t="s">
        <v>373</v>
      </c>
    </row>
    <row r="465" spans="2:8">
      <c r="B465" s="217">
        <v>6</v>
      </c>
      <c r="C465" s="217" t="s">
        <v>301</v>
      </c>
      <c r="D465" s="217" t="str">
        <f t="shared" si="25"/>
        <v>6三重平中学校</v>
      </c>
      <c r="E465" s="218">
        <v>1</v>
      </c>
      <c r="F465" s="219" t="s">
        <v>400</v>
      </c>
      <c r="G465" s="219">
        <f>IF(F465="校長室",$L$5,IF(F465="職員室",$L$4,IF(F465="保健室",$L$6,IF(F465="相談室",$L$7,IF(F465="会議室",$L$8,"")))))</f>
        <v>4</v>
      </c>
      <c r="H465" s="219" t="str">
        <f>IF(F465="校長室",$M$5,IF(F465="職員室",$M$4,IF(F465="保健室",$M$6,IF(F465="相談室",$M$7,IF(F465="会議室",$M$8,"")))))</f>
        <v>④保健室</v>
      </c>
    </row>
    <row r="466" spans="2:8">
      <c r="B466" s="217">
        <v>7</v>
      </c>
      <c r="C466" s="217" t="s">
        <v>301</v>
      </c>
      <c r="D466" s="217" t="str">
        <f t="shared" si="25"/>
        <v>7三重平中学校</v>
      </c>
      <c r="E466" s="218">
        <v>2</v>
      </c>
      <c r="F466" s="219" t="s">
        <v>397</v>
      </c>
      <c r="G466" s="219">
        <v>7</v>
      </c>
      <c r="H466" s="219" t="s">
        <v>375</v>
      </c>
    </row>
    <row r="467" spans="2:8">
      <c r="B467" s="217">
        <v>8</v>
      </c>
      <c r="C467" s="217" t="s">
        <v>301</v>
      </c>
      <c r="D467" s="217" t="str">
        <f t="shared" si="25"/>
        <v>8三重平中学校</v>
      </c>
      <c r="E467" s="218">
        <v>3</v>
      </c>
      <c r="F467" s="219" t="s">
        <v>474</v>
      </c>
      <c r="G467" s="219">
        <v>8</v>
      </c>
      <c r="H467" s="219" t="s">
        <v>376</v>
      </c>
    </row>
    <row r="468" spans="2:8">
      <c r="B468" s="217">
        <v>9</v>
      </c>
      <c r="C468" s="217" t="s">
        <v>301</v>
      </c>
      <c r="D468" s="217" t="str">
        <f t="shared" si="25"/>
        <v>9三重平中学校</v>
      </c>
      <c r="E468" s="218">
        <v>3</v>
      </c>
      <c r="F468" s="219" t="s">
        <v>556</v>
      </c>
      <c r="G468" s="219">
        <v>7</v>
      </c>
      <c r="H468" s="219" t="s">
        <v>375</v>
      </c>
    </row>
    <row r="469" spans="2:8">
      <c r="B469" s="217">
        <v>10</v>
      </c>
      <c r="C469" s="217" t="s">
        <v>301</v>
      </c>
      <c r="D469" s="217" t="str">
        <f t="shared" si="25"/>
        <v>10三重平中学校</v>
      </c>
      <c r="E469" s="218">
        <v>1</v>
      </c>
      <c r="F469" s="219" t="s">
        <v>557</v>
      </c>
      <c r="G469" s="219">
        <v>8</v>
      </c>
      <c r="H469" s="219" t="s">
        <v>376</v>
      </c>
    </row>
    <row r="470" spans="2:8">
      <c r="B470" s="217">
        <v>11</v>
      </c>
      <c r="C470" s="217" t="s">
        <v>301</v>
      </c>
      <c r="D470" s="217" t="str">
        <f t="shared" si="25"/>
        <v>11三重平中学校</v>
      </c>
      <c r="E470" s="218">
        <v>3</v>
      </c>
      <c r="F470" s="219" t="s">
        <v>425</v>
      </c>
      <c r="G470" s="219">
        <v>8</v>
      </c>
      <c r="H470" s="219" t="s">
        <v>376</v>
      </c>
    </row>
    <row r="471" spans="2:8">
      <c r="B471" s="217">
        <v>12</v>
      </c>
      <c r="C471" s="217" t="s">
        <v>301</v>
      </c>
      <c r="D471" s="217" t="str">
        <f>B471&amp;C471</f>
        <v>12三重平中学校</v>
      </c>
      <c r="E471" s="218">
        <v>1</v>
      </c>
      <c r="F471" s="219" t="s">
        <v>558</v>
      </c>
      <c r="G471" s="219">
        <v>7</v>
      </c>
      <c r="H471" s="219" t="s">
        <v>375</v>
      </c>
    </row>
    <row r="472" spans="2:8">
      <c r="B472" s="217">
        <v>1</v>
      </c>
      <c r="C472" s="217" t="s">
        <v>302</v>
      </c>
      <c r="D472" s="217" t="str">
        <f t="shared" si="25"/>
        <v>1羽津中学校</v>
      </c>
      <c r="E472" s="218">
        <v>1</v>
      </c>
      <c r="F472" s="219" t="s">
        <v>394</v>
      </c>
      <c r="G472" s="219">
        <f>IF(F472="校長室",$L$5,IF(F472="職員室",$L$4,IF(F472="保健室",$L$6,IF(F472="相談室",$L$7,IF(F472="会議室",$L$8,"")))))</f>
        <v>3</v>
      </c>
      <c r="H472" s="219" t="str">
        <f>IF(F472="校長室",$M$5,IF(F472="職員室",$M$4,IF(F472="保健室",$M$6,IF(F472="相談室",$M$7,IF(F472="会議室",$M$8,"")))))</f>
        <v>③校長室</v>
      </c>
    </row>
    <row r="473" spans="2:8">
      <c r="B473" s="217">
        <v>2</v>
      </c>
      <c r="C473" s="217" t="s">
        <v>302</v>
      </c>
      <c r="D473" s="217" t="str">
        <f t="shared" si="25"/>
        <v>2羽津中学校</v>
      </c>
      <c r="E473" s="218">
        <v>1</v>
      </c>
      <c r="F473" s="219" t="s">
        <v>395</v>
      </c>
      <c r="G473" s="219">
        <f>IF(F473="校長室",$L$5,IF(F473="職員室",$L$4,IF(F473="保健室",$L$6,IF(F473="相談室",$L$7,IF(F473="会議室",$L$8,"")))))</f>
        <v>2</v>
      </c>
      <c r="H473" s="219" t="str">
        <f>IF(F473="校長室",$M$5,IF(F473="職員室",$M$4,IF(F473="保健室",$M$6,IF(F473="相談室",$M$7,IF(F473="会議室",$M$8,"")))))</f>
        <v>②職員室</v>
      </c>
    </row>
    <row r="474" spans="2:8">
      <c r="B474" s="217">
        <v>3</v>
      </c>
      <c r="C474" s="217" t="s">
        <v>302</v>
      </c>
      <c r="D474" s="217" t="str">
        <f t="shared" si="25"/>
        <v>3羽津中学校</v>
      </c>
      <c r="E474" s="218">
        <v>1</v>
      </c>
      <c r="F474" s="481" t="s">
        <v>622</v>
      </c>
      <c r="G474" s="219">
        <v>6</v>
      </c>
      <c r="H474" s="219" t="s">
        <v>608</v>
      </c>
    </row>
    <row r="475" spans="2:8">
      <c r="B475" s="217">
        <v>4</v>
      </c>
      <c r="C475" s="217" t="s">
        <v>302</v>
      </c>
      <c r="D475" s="217" t="str">
        <f t="shared" si="25"/>
        <v>4羽津中学校</v>
      </c>
      <c r="E475" s="218">
        <v>1</v>
      </c>
      <c r="F475" s="219" t="s">
        <v>400</v>
      </c>
      <c r="G475" s="219">
        <f>IF(F475="校長室",$L$5,IF(F475="職員室",$L$4,IF(F475="保健室",$L$6,IF(F475="相談室",$L$7,IF(F475="会議室",$L$8,"")))))</f>
        <v>4</v>
      </c>
      <c r="H475" s="219" t="str">
        <f>IF(F475="校長室",$M$5,IF(F475="職員室",$M$4,IF(F475="保健室",$M$6,IF(F475="相談室",$M$7,IF(F475="会議室",$M$8,"")))))</f>
        <v>④保健室</v>
      </c>
    </row>
    <row r="476" spans="2:8">
      <c r="B476" s="217">
        <v>5</v>
      </c>
      <c r="C476" s="217" t="s">
        <v>302</v>
      </c>
      <c r="D476" s="217" t="str">
        <f t="shared" si="25"/>
        <v>5羽津中学校</v>
      </c>
      <c r="E476" s="218">
        <v>1</v>
      </c>
      <c r="F476" s="481" t="s">
        <v>429</v>
      </c>
      <c r="G476" s="219">
        <f>IF(F476="校長室",$L$5,IF(F476="職員室",$L$4,IF(F476="保健室",$L$6,IF(F476="相談室",$L$7,IF(F476="会議室",$L$8,"")))))</f>
        <v>6</v>
      </c>
      <c r="H476" s="219" t="str">
        <f>IF(F476="校長室",$M$5,IF(F476="職員室",$M$4,IF(F476="保健室",$M$6,IF(F476="相談室",$M$7,IF(F476="会議室",$M$8,"")))))</f>
        <v>⑥会議室</v>
      </c>
    </row>
    <row r="477" spans="2:8">
      <c r="B477" s="217">
        <v>6</v>
      </c>
      <c r="C477" s="217" t="s">
        <v>302</v>
      </c>
      <c r="D477" s="217" t="str">
        <f t="shared" si="25"/>
        <v>6羽津中学校</v>
      </c>
      <c r="E477" s="218">
        <v>4</v>
      </c>
      <c r="F477" s="219" t="s">
        <v>425</v>
      </c>
      <c r="G477" s="219">
        <v>8</v>
      </c>
      <c r="H477" s="219" t="s">
        <v>376</v>
      </c>
    </row>
    <row r="478" spans="2:8">
      <c r="B478" s="217">
        <v>7</v>
      </c>
      <c r="C478" s="217" t="s">
        <v>302</v>
      </c>
      <c r="D478" s="217" t="str">
        <f t="shared" si="25"/>
        <v>7羽津中学校</v>
      </c>
      <c r="E478" s="218">
        <v>1</v>
      </c>
      <c r="F478" s="481" t="s">
        <v>535</v>
      </c>
      <c r="G478" s="219">
        <v>7</v>
      </c>
      <c r="H478" s="219" t="s">
        <v>375</v>
      </c>
    </row>
    <row r="479" spans="2:8">
      <c r="B479" s="217">
        <v>1</v>
      </c>
      <c r="C479" s="217" t="s">
        <v>303</v>
      </c>
      <c r="D479" s="217" t="str">
        <f t="shared" si="25"/>
        <v>1西朝明中学校</v>
      </c>
      <c r="E479" s="218">
        <v>1</v>
      </c>
      <c r="F479" s="219" t="s">
        <v>394</v>
      </c>
      <c r="G479" s="219">
        <f>IF(F479="校長室",$L$5,IF(F479="職員室",$L$4,IF(F479="保健室",$L$6,IF(F479="相談室",$L$7,IF(F479="会議室",$L$8,"")))))</f>
        <v>3</v>
      </c>
      <c r="H479" s="219" t="str">
        <f>IF(F479="校長室",$M$5,IF(F479="職員室",$M$4,IF(F479="保健室",$M$6,IF(F479="相談室",$M$7,IF(F479="会議室",$M$8,"")))))</f>
        <v>③校長室</v>
      </c>
    </row>
    <row r="480" spans="2:8">
      <c r="B480" s="217">
        <v>2</v>
      </c>
      <c r="C480" s="217" t="s">
        <v>303</v>
      </c>
      <c r="D480" s="217" t="str">
        <f t="shared" si="25"/>
        <v>2西朝明中学校</v>
      </c>
      <c r="E480" s="218">
        <v>1</v>
      </c>
      <c r="F480" s="219" t="s">
        <v>395</v>
      </c>
      <c r="G480" s="219">
        <f>IF(F480="校長室",$L$5,IF(F480="職員室",$L$4,IF(F480="保健室",$L$6,IF(F480="相談室",$L$7,IF(F480="会議室",$L$8,"")))))</f>
        <v>2</v>
      </c>
      <c r="H480" s="219" t="str">
        <f>IF(F480="校長室",$M$5,IF(F480="職員室",$M$4,IF(F480="保健室",$M$6,IF(F480="相談室",$M$7,IF(F480="会議室",$M$8,"")))))</f>
        <v>②職員室</v>
      </c>
    </row>
    <row r="481" spans="2:8">
      <c r="B481" s="217">
        <v>3</v>
      </c>
      <c r="C481" s="217" t="s">
        <v>303</v>
      </c>
      <c r="D481" s="217" t="str">
        <f t="shared" si="25"/>
        <v>3西朝明中学校</v>
      </c>
      <c r="E481" s="218">
        <v>1</v>
      </c>
      <c r="F481" s="219" t="s">
        <v>400</v>
      </c>
      <c r="G481" s="219">
        <f>IF(F481="校長室",$L$5,IF(F481="職員室",$L$4,IF(F481="保健室",$L$6,IF(F481="相談室",$L$7,IF(F481="会議室",$L$8,"")))))</f>
        <v>4</v>
      </c>
      <c r="H481" s="219" t="str">
        <f>IF(F481="校長室",$M$5,IF(F481="職員室",$M$4,IF(F481="保健室",$M$6,IF(F481="相談室",$M$7,IF(F481="会議室",$M$8,"")))))</f>
        <v>④保健室</v>
      </c>
    </row>
    <row r="482" spans="2:8">
      <c r="B482" s="217">
        <v>4</v>
      </c>
      <c r="C482" s="217" t="s">
        <v>303</v>
      </c>
      <c r="D482" s="217" t="str">
        <f t="shared" si="25"/>
        <v>4西朝明中学校</v>
      </c>
      <c r="E482" s="218">
        <v>1</v>
      </c>
      <c r="F482" s="219" t="s">
        <v>399</v>
      </c>
      <c r="G482" s="219">
        <f>IF(F482="校長室",$L$5,IF(F482="職員室",$L$4,IF(F482="保健室",$L$6,IF(F482="相談室",$L$7,IF(F482="会議室",$L$8,"")))))</f>
        <v>5</v>
      </c>
      <c r="H482" s="219" t="str">
        <f>IF(F482="校長室",$M$5,IF(F482="職員室",$M$4,IF(F482="保健室",$M$6,IF(F482="相談室",$M$7,IF(F482="会議室",$M$8,"")))))</f>
        <v>⑤相談室</v>
      </c>
    </row>
    <row r="483" spans="2:8">
      <c r="B483" s="217">
        <v>5</v>
      </c>
      <c r="C483" s="217" t="s">
        <v>303</v>
      </c>
      <c r="D483" s="217" t="str">
        <f t="shared" si="25"/>
        <v>5西朝明中学校</v>
      </c>
      <c r="E483" s="218">
        <v>1</v>
      </c>
      <c r="F483" s="219" t="s">
        <v>437</v>
      </c>
      <c r="G483" s="219">
        <v>7</v>
      </c>
      <c r="H483" s="219" t="s">
        <v>375</v>
      </c>
    </row>
    <row r="484" spans="2:8">
      <c r="B484" s="217">
        <v>6</v>
      </c>
      <c r="C484" s="217" t="s">
        <v>303</v>
      </c>
      <c r="D484" s="217" t="str">
        <f t="shared" si="25"/>
        <v>6西朝明中学校</v>
      </c>
      <c r="E484" s="218">
        <v>1</v>
      </c>
      <c r="F484" s="219" t="s">
        <v>559</v>
      </c>
      <c r="G484" s="219">
        <v>5</v>
      </c>
      <c r="H484" s="219" t="s">
        <v>574</v>
      </c>
    </row>
    <row r="485" spans="2:8">
      <c r="B485" s="217">
        <v>7</v>
      </c>
      <c r="C485" s="217" t="s">
        <v>303</v>
      </c>
      <c r="D485" s="217" t="str">
        <f t="shared" si="25"/>
        <v>7西朝明中学校</v>
      </c>
      <c r="E485" s="218">
        <v>2</v>
      </c>
      <c r="F485" s="219" t="s">
        <v>429</v>
      </c>
      <c r="G485" s="219">
        <f>IF(F485="校長室",$L$5,IF(F485="職員室",$L$4,IF(F485="保健室",$L$6,IF(F485="相談室",$L$7,IF(F485="会議室",$L$8,"")))))</f>
        <v>6</v>
      </c>
      <c r="H485" s="219" t="str">
        <f>IF(F485="校長室",$M$5,IF(F485="職員室",$M$4,IF(F485="保健室",$M$6,IF(F485="相談室",$M$7,IF(F485="会議室",$M$8,"")))))</f>
        <v>⑥会議室</v>
      </c>
    </row>
    <row r="486" spans="2:8">
      <c r="B486" s="217">
        <v>8</v>
      </c>
      <c r="C486" s="217" t="s">
        <v>303</v>
      </c>
      <c r="D486" s="217" t="str">
        <f t="shared" si="25"/>
        <v>8西朝明中学校</v>
      </c>
      <c r="E486" s="218">
        <v>2</v>
      </c>
      <c r="F486" s="219" t="s">
        <v>435</v>
      </c>
      <c r="G486" s="219">
        <v>8</v>
      </c>
      <c r="H486" s="219" t="s">
        <v>376</v>
      </c>
    </row>
    <row r="487" spans="2:8">
      <c r="B487" s="217">
        <v>9</v>
      </c>
      <c r="C487" s="217" t="s">
        <v>303</v>
      </c>
      <c r="D487" s="217" t="str">
        <f t="shared" si="25"/>
        <v>9西朝明中学校</v>
      </c>
      <c r="E487" s="218">
        <v>1</v>
      </c>
      <c r="F487" s="219" t="s">
        <v>424</v>
      </c>
      <c r="G487" s="219">
        <v>8</v>
      </c>
      <c r="H487" s="219" t="s">
        <v>376</v>
      </c>
    </row>
    <row r="488" spans="2:8">
      <c r="B488" s="217">
        <v>10</v>
      </c>
      <c r="C488" s="217" t="s">
        <v>303</v>
      </c>
      <c r="D488" s="217" t="str">
        <f t="shared" si="25"/>
        <v>10西朝明中学校</v>
      </c>
      <c r="E488" s="218">
        <v>2</v>
      </c>
      <c r="F488" s="219" t="s">
        <v>424</v>
      </c>
      <c r="G488" s="219">
        <v>8</v>
      </c>
      <c r="H488" s="219" t="s">
        <v>376</v>
      </c>
    </row>
    <row r="489" spans="2:8">
      <c r="B489" s="217">
        <v>11</v>
      </c>
      <c r="C489" s="217" t="s">
        <v>303</v>
      </c>
      <c r="D489" s="217" t="str">
        <f t="shared" si="25"/>
        <v>11西朝明中学校</v>
      </c>
      <c r="E489" s="218">
        <v>3</v>
      </c>
      <c r="F489" s="219" t="s">
        <v>425</v>
      </c>
      <c r="G489" s="219">
        <v>8</v>
      </c>
      <c r="H489" s="219" t="s">
        <v>376</v>
      </c>
    </row>
    <row r="490" spans="2:8">
      <c r="B490" s="217">
        <v>12</v>
      </c>
      <c r="C490" s="217" t="s">
        <v>303</v>
      </c>
      <c r="D490" s="217" t="str">
        <f t="shared" si="25"/>
        <v>12西朝明中学校</v>
      </c>
      <c r="E490" s="218">
        <v>2</v>
      </c>
      <c r="F490" s="219" t="s">
        <v>560</v>
      </c>
      <c r="G490" s="219">
        <v>7</v>
      </c>
      <c r="H490" s="219" t="s">
        <v>375</v>
      </c>
    </row>
    <row r="491" spans="2:8">
      <c r="B491" s="217">
        <v>1</v>
      </c>
      <c r="C491" s="217" t="s">
        <v>304</v>
      </c>
      <c r="D491" s="217" t="str">
        <f t="shared" si="25"/>
        <v>1桜中学校</v>
      </c>
      <c r="E491" s="218">
        <v>1</v>
      </c>
      <c r="F491" s="219" t="s">
        <v>394</v>
      </c>
      <c r="G491" s="219">
        <f>IF(F491="校長室",$L$5,IF(F491="職員室",$L$4,IF(F491="保健室",$L$6,IF(F491="相談室",$L$7,IF(F491="会議室",$L$8,"")))))</f>
        <v>3</v>
      </c>
      <c r="H491" s="219" t="str">
        <f>IF(F491="校長室",$M$5,IF(F491="職員室",$M$4,IF(F491="保健室",$M$6,IF(F491="相談室",$M$7,IF(F491="会議室",$M$8,"")))))</f>
        <v>③校長室</v>
      </c>
    </row>
    <row r="492" spans="2:8">
      <c r="B492" s="217">
        <v>2</v>
      </c>
      <c r="C492" s="217" t="s">
        <v>304</v>
      </c>
      <c r="D492" s="217" t="str">
        <f t="shared" si="25"/>
        <v>2桜中学校</v>
      </c>
      <c r="E492" s="218">
        <v>1</v>
      </c>
      <c r="F492" s="219" t="s">
        <v>395</v>
      </c>
      <c r="G492" s="219">
        <f>IF(F492="校長室",$L$5,IF(F492="職員室",$L$4,IF(F492="保健室",$L$6,IF(F492="相談室",$L$7,IF(F492="会議室",$L$8,"")))))</f>
        <v>2</v>
      </c>
      <c r="H492" s="219" t="str">
        <f>IF(F492="校長室",$M$5,IF(F492="職員室",$M$4,IF(F492="保健室",$M$6,IF(F492="相談室",$M$7,IF(F492="会議室",$M$8,"")))))</f>
        <v>②職員室</v>
      </c>
    </row>
    <row r="493" spans="2:8">
      <c r="B493" s="217">
        <v>3</v>
      </c>
      <c r="C493" s="217" t="s">
        <v>304</v>
      </c>
      <c r="D493" s="217" t="str">
        <f t="shared" si="25"/>
        <v>3桜中学校</v>
      </c>
      <c r="E493" s="218">
        <v>2</v>
      </c>
      <c r="F493" s="219" t="s">
        <v>424</v>
      </c>
      <c r="G493" s="219">
        <v>8</v>
      </c>
      <c r="H493" s="219" t="s">
        <v>376</v>
      </c>
    </row>
    <row r="494" spans="2:8">
      <c r="B494" s="217">
        <v>4</v>
      </c>
      <c r="C494" s="217" t="s">
        <v>304</v>
      </c>
      <c r="D494" s="217" t="str">
        <f t="shared" si="25"/>
        <v>4桜中学校</v>
      </c>
      <c r="E494" s="218">
        <v>1</v>
      </c>
      <c r="F494" s="219" t="s">
        <v>400</v>
      </c>
      <c r="G494" s="219">
        <f>IF(F494="校長室",$L$5,IF(F494="職員室",$L$4,IF(F494="保健室",$L$6,IF(F494="相談室",$L$7,IF(F494="会議室",$L$8,"")))))</f>
        <v>4</v>
      </c>
      <c r="H494" s="219" t="str">
        <f>IF(F494="校長室",$M$5,IF(F494="職員室",$M$4,IF(F494="保健室",$M$6,IF(F494="相談室",$M$7,IF(F494="会議室",$M$8,"")))))</f>
        <v>④保健室</v>
      </c>
    </row>
    <row r="495" spans="2:8">
      <c r="B495" s="217">
        <v>5</v>
      </c>
      <c r="C495" s="217" t="s">
        <v>304</v>
      </c>
      <c r="D495" s="217" t="str">
        <f t="shared" si="25"/>
        <v>5桜中学校</v>
      </c>
      <c r="E495" s="218">
        <v>1</v>
      </c>
      <c r="F495" s="219" t="s">
        <v>528</v>
      </c>
      <c r="G495" s="219">
        <v>7</v>
      </c>
      <c r="H495" s="219" t="s">
        <v>375</v>
      </c>
    </row>
    <row r="496" spans="2:8">
      <c r="B496" s="217">
        <v>6</v>
      </c>
      <c r="C496" s="217" t="s">
        <v>304</v>
      </c>
      <c r="D496" s="217" t="str">
        <f t="shared" si="25"/>
        <v>6桜中学校</v>
      </c>
      <c r="E496" s="218">
        <v>1</v>
      </c>
      <c r="F496" s="219" t="s">
        <v>561</v>
      </c>
      <c r="G496" s="219">
        <v>5</v>
      </c>
      <c r="H496" s="219" t="s">
        <v>374</v>
      </c>
    </row>
    <row r="497" spans="2:8">
      <c r="B497" s="217">
        <v>7</v>
      </c>
      <c r="C497" s="217" t="s">
        <v>304</v>
      </c>
      <c r="D497" s="217" t="str">
        <f t="shared" si="25"/>
        <v>7桜中学校</v>
      </c>
      <c r="E497" s="218">
        <v>1</v>
      </c>
      <c r="F497" s="219" t="s">
        <v>562</v>
      </c>
      <c r="G497" s="219">
        <v>5</v>
      </c>
      <c r="H497" s="219" t="s">
        <v>374</v>
      </c>
    </row>
    <row r="498" spans="2:8">
      <c r="B498" s="217">
        <v>8</v>
      </c>
      <c r="C498" s="217" t="s">
        <v>304</v>
      </c>
      <c r="D498" s="217" t="str">
        <f t="shared" si="25"/>
        <v>8桜中学校</v>
      </c>
      <c r="E498" s="218">
        <v>1</v>
      </c>
      <c r="F498" s="219" t="s">
        <v>563</v>
      </c>
      <c r="G498" s="219">
        <v>5</v>
      </c>
      <c r="H498" s="219" t="s">
        <v>374</v>
      </c>
    </row>
    <row r="499" spans="2:8">
      <c r="B499" s="217">
        <v>9</v>
      </c>
      <c r="C499" s="217" t="s">
        <v>304</v>
      </c>
      <c r="D499" s="217" t="str">
        <f t="shared" si="25"/>
        <v>9桜中学校</v>
      </c>
      <c r="E499" s="218">
        <v>2</v>
      </c>
      <c r="F499" s="219" t="s">
        <v>424</v>
      </c>
      <c r="G499" s="219">
        <v>8</v>
      </c>
      <c r="H499" s="219" t="s">
        <v>376</v>
      </c>
    </row>
    <row r="500" spans="2:8">
      <c r="B500" s="217">
        <v>10</v>
      </c>
      <c r="C500" s="217" t="s">
        <v>304</v>
      </c>
      <c r="D500" s="217" t="str">
        <f t="shared" si="25"/>
        <v>10桜中学校</v>
      </c>
      <c r="E500" s="218">
        <v>3</v>
      </c>
      <c r="F500" s="219" t="s">
        <v>564</v>
      </c>
      <c r="G500" s="219">
        <v>8</v>
      </c>
      <c r="H500" s="219" t="s">
        <v>376</v>
      </c>
    </row>
    <row r="501" spans="2:8">
      <c r="B501" s="217">
        <v>11</v>
      </c>
      <c r="C501" s="217" t="s">
        <v>304</v>
      </c>
      <c r="D501" s="217" t="str">
        <f t="shared" si="25"/>
        <v>11桜中学校</v>
      </c>
      <c r="E501" s="218">
        <v>2</v>
      </c>
      <c r="F501" s="219" t="s">
        <v>425</v>
      </c>
      <c r="G501" s="219">
        <v>8</v>
      </c>
      <c r="H501" s="219" t="s">
        <v>376</v>
      </c>
    </row>
    <row r="502" spans="2:8">
      <c r="B502" s="217">
        <v>12</v>
      </c>
      <c r="C502" s="217" t="s">
        <v>304</v>
      </c>
      <c r="D502" s="217" t="str">
        <f t="shared" si="25"/>
        <v>12桜中学校</v>
      </c>
      <c r="E502" s="218">
        <v>1</v>
      </c>
      <c r="F502" s="219" t="s">
        <v>565</v>
      </c>
      <c r="G502" s="219">
        <v>7</v>
      </c>
      <c r="H502" s="219" t="s">
        <v>375</v>
      </c>
    </row>
    <row r="503" spans="2:8">
      <c r="B503" s="217">
        <v>1</v>
      </c>
      <c r="C503" s="217" t="s">
        <v>305</v>
      </c>
      <c r="D503" s="217" t="str">
        <f t="shared" si="25"/>
        <v>1内部中学校</v>
      </c>
      <c r="E503" s="218">
        <v>1</v>
      </c>
      <c r="F503" s="219" t="s">
        <v>394</v>
      </c>
      <c r="G503" s="219">
        <f>IF(F503="校長室",$L$5,IF(F503="職員室",$L$4,IF(F503="保健室",$L$6,IF(F503="相談室",$L$7,IF(F503="会議室",$L$8,"")))))</f>
        <v>3</v>
      </c>
      <c r="H503" s="219" t="str">
        <f>IF(F503="校長室",$M$5,IF(F503="職員室",$M$4,IF(F503="保健室",$M$6,IF(F503="相談室",$M$7,IF(F503="会議室",$M$8,"")))))</f>
        <v>③校長室</v>
      </c>
    </row>
    <row r="504" spans="2:8">
      <c r="B504" s="217">
        <v>2</v>
      </c>
      <c r="C504" s="217" t="s">
        <v>305</v>
      </c>
      <c r="D504" s="217" t="str">
        <f t="shared" si="25"/>
        <v>2内部中学校</v>
      </c>
      <c r="E504" s="218">
        <v>1</v>
      </c>
      <c r="F504" s="219" t="s">
        <v>395</v>
      </c>
      <c r="G504" s="219">
        <f>IF(F504="校長室",$L$5,IF(F504="職員室",$L$4,IF(F504="保健室",$L$6,IF(F504="相談室",$L$7,IF(F504="会議室",$L$8,"")))))</f>
        <v>2</v>
      </c>
      <c r="H504" s="219" t="str">
        <f>IF(F504="校長室",$M$5,IF(F504="職員室",$M$4,IF(F504="保健室",$M$6,IF(F504="相談室",$M$7,IF(F504="会議室",$M$8,"")))))</f>
        <v>②職員室</v>
      </c>
    </row>
    <row r="505" spans="2:8">
      <c r="B505" s="217">
        <v>3</v>
      </c>
      <c r="C505" s="217" t="s">
        <v>305</v>
      </c>
      <c r="D505" s="217" t="str">
        <f t="shared" ref="D505:D523" si="26">B505&amp;C505</f>
        <v>3内部中学校</v>
      </c>
      <c r="E505" s="218">
        <v>1</v>
      </c>
      <c r="F505" s="219" t="s">
        <v>541</v>
      </c>
      <c r="G505" s="219">
        <v>7</v>
      </c>
      <c r="H505" s="219" t="s">
        <v>375</v>
      </c>
    </row>
    <row r="506" spans="2:8">
      <c r="B506" s="217">
        <v>4</v>
      </c>
      <c r="C506" s="217" t="s">
        <v>305</v>
      </c>
      <c r="D506" s="217" t="str">
        <f t="shared" si="26"/>
        <v>4内部中学校</v>
      </c>
      <c r="E506" s="218">
        <v>1</v>
      </c>
      <c r="F506" s="219" t="s">
        <v>400</v>
      </c>
      <c r="G506" s="219">
        <f>IF(F506="校長室",$L$5,IF(F506="職員室",$L$4,IF(F506="保健室",$L$6,IF(F506="相談室",$L$7,IF(F506="会議室",$L$8,"")))))</f>
        <v>4</v>
      </c>
      <c r="H506" s="219" t="str">
        <f>IF(F506="校長室",$M$5,IF(F506="職員室",$M$4,IF(F506="保健室",$M$6,IF(F506="相談室",$M$7,IF(F506="会議室",$M$8,"")))))</f>
        <v>④保健室</v>
      </c>
    </row>
    <row r="507" spans="2:8">
      <c r="B507" s="217">
        <v>5</v>
      </c>
      <c r="C507" s="217" t="s">
        <v>305</v>
      </c>
      <c r="D507" s="217" t="str">
        <f t="shared" si="26"/>
        <v>5内部中学校</v>
      </c>
      <c r="E507" s="218">
        <v>1</v>
      </c>
      <c r="F507" s="219" t="s">
        <v>429</v>
      </c>
      <c r="G507" s="219">
        <f>IF(F507="校長室",$L$5,IF(F507="職員室",$L$4,IF(F507="保健室",$L$6,IF(F507="相談室",$L$7,IF(F507="会議室",$L$8,"")))))</f>
        <v>6</v>
      </c>
      <c r="H507" s="219" t="str">
        <f>IF(F507="校長室",$M$5,IF(F507="職員室",$M$4,IF(F507="保健室",$M$6,IF(F507="相談室",$M$7,IF(F507="会議室",$M$8,"")))))</f>
        <v>⑥会議室</v>
      </c>
    </row>
    <row r="508" spans="2:8">
      <c r="B508" s="217">
        <v>6</v>
      </c>
      <c r="C508" s="217" t="s">
        <v>305</v>
      </c>
      <c r="D508" s="217" t="str">
        <f t="shared" si="26"/>
        <v>6内部中学校</v>
      </c>
      <c r="E508" s="218">
        <v>1</v>
      </c>
      <c r="F508" s="219" t="s">
        <v>397</v>
      </c>
      <c r="G508" s="219">
        <v>7</v>
      </c>
      <c r="H508" s="219" t="s">
        <v>375</v>
      </c>
    </row>
    <row r="509" spans="2:8">
      <c r="B509" s="217">
        <v>7</v>
      </c>
      <c r="C509" s="217" t="s">
        <v>305</v>
      </c>
      <c r="D509" s="217" t="str">
        <f t="shared" si="26"/>
        <v>7内部中学校</v>
      </c>
      <c r="E509" s="218">
        <v>2</v>
      </c>
      <c r="F509" s="219" t="s">
        <v>566</v>
      </c>
      <c r="G509" s="219">
        <v>8</v>
      </c>
      <c r="H509" s="219" t="s">
        <v>376</v>
      </c>
    </row>
    <row r="510" spans="2:8">
      <c r="B510" s="217">
        <v>8</v>
      </c>
      <c r="C510" s="217" t="s">
        <v>305</v>
      </c>
      <c r="D510" s="217" t="str">
        <f t="shared" si="26"/>
        <v>8内部中学校</v>
      </c>
      <c r="E510" s="218">
        <v>4</v>
      </c>
      <c r="F510" s="219" t="s">
        <v>567</v>
      </c>
      <c r="G510" s="219">
        <v>8</v>
      </c>
      <c r="H510" s="219" t="s">
        <v>376</v>
      </c>
    </row>
    <row r="511" spans="2:8">
      <c r="B511" s="217">
        <v>9</v>
      </c>
      <c r="C511" s="217" t="s">
        <v>305</v>
      </c>
      <c r="D511" s="217" t="str">
        <f t="shared" si="26"/>
        <v>9内部中学校</v>
      </c>
      <c r="E511" s="218">
        <v>4</v>
      </c>
      <c r="F511" s="219" t="s">
        <v>425</v>
      </c>
      <c r="G511" s="219">
        <v>8</v>
      </c>
      <c r="H511" s="219" t="s">
        <v>376</v>
      </c>
    </row>
    <row r="512" spans="2:8">
      <c r="B512" s="217">
        <v>10</v>
      </c>
      <c r="C512" s="217" t="s">
        <v>305</v>
      </c>
      <c r="D512" s="217" t="str">
        <f t="shared" si="26"/>
        <v>10内部中学校</v>
      </c>
      <c r="E512" s="218">
        <v>1</v>
      </c>
      <c r="F512" s="219" t="s">
        <v>455</v>
      </c>
      <c r="G512" s="219">
        <v>8</v>
      </c>
      <c r="H512" s="219" t="s">
        <v>376</v>
      </c>
    </row>
    <row r="513" spans="2:8">
      <c r="B513" s="217">
        <v>11</v>
      </c>
      <c r="C513" s="217" t="s">
        <v>305</v>
      </c>
      <c r="D513" s="217" t="str">
        <f t="shared" si="26"/>
        <v>11内部中学校</v>
      </c>
      <c r="E513" s="218">
        <v>1</v>
      </c>
      <c r="F513" s="219" t="s">
        <v>535</v>
      </c>
      <c r="G513" s="219">
        <v>7</v>
      </c>
      <c r="H513" s="219" t="s">
        <v>375</v>
      </c>
    </row>
    <row r="514" spans="2:8">
      <c r="B514" s="217">
        <v>1</v>
      </c>
      <c r="C514" s="217" t="s">
        <v>306</v>
      </c>
      <c r="D514" s="217" t="str">
        <f t="shared" si="26"/>
        <v>1楠中学校</v>
      </c>
      <c r="E514" s="218">
        <v>1</v>
      </c>
      <c r="F514" s="219" t="s">
        <v>394</v>
      </c>
      <c r="G514" s="219">
        <f>IF(F514="校長室",$L$5,IF(F514="職員室",$L$4,IF(F514="保健室",$L$6,IF(F514="相談室",$L$7,IF(F514="会議室",$L$8,"")))))</f>
        <v>3</v>
      </c>
      <c r="H514" s="219" t="str">
        <f>IF(F514="校長室",$M$5,IF(F514="職員室",$M$4,IF(F514="保健室",$M$6,IF(F514="相談室",$M$7,IF(F514="会議室",$M$8,"")))))</f>
        <v>③校長室</v>
      </c>
    </row>
    <row r="515" spans="2:8">
      <c r="B515" s="217">
        <v>2</v>
      </c>
      <c r="C515" s="217" t="s">
        <v>306</v>
      </c>
      <c r="D515" s="217" t="str">
        <f t="shared" si="26"/>
        <v>2楠中学校</v>
      </c>
      <c r="E515" s="218">
        <v>2</v>
      </c>
      <c r="F515" s="219" t="s">
        <v>568</v>
      </c>
      <c r="G515" s="219">
        <v>7</v>
      </c>
      <c r="H515" s="219" t="s">
        <v>375</v>
      </c>
    </row>
    <row r="516" spans="2:8">
      <c r="B516" s="217">
        <v>3</v>
      </c>
      <c r="C516" s="217" t="s">
        <v>306</v>
      </c>
      <c r="D516" s="217" t="str">
        <f t="shared" si="26"/>
        <v>3楠中学校</v>
      </c>
      <c r="E516" s="218">
        <v>1</v>
      </c>
      <c r="F516" s="219" t="s">
        <v>395</v>
      </c>
      <c r="G516" s="219">
        <f>IF(F516="校長室",$L$5,IF(F516="職員室",$L$4,IF(F516="保健室",$L$6,IF(F516="相談室",$L$7,IF(F516="会議室",$L$8,"")))))</f>
        <v>2</v>
      </c>
      <c r="H516" s="219" t="str">
        <f>IF(F516="校長室",$M$5,IF(F516="職員室",$M$4,IF(F516="保健室",$M$6,IF(F516="相談室",$M$7,IF(F516="会議室",$M$8,"")))))</f>
        <v>②職員室</v>
      </c>
    </row>
    <row r="517" spans="2:8">
      <c r="B517" s="217">
        <v>4</v>
      </c>
      <c r="C517" s="217" t="s">
        <v>306</v>
      </c>
      <c r="D517" s="217" t="str">
        <f t="shared" si="26"/>
        <v>4楠中学校</v>
      </c>
      <c r="E517" s="218">
        <v>1</v>
      </c>
      <c r="F517" s="219" t="s">
        <v>569</v>
      </c>
      <c r="G517" s="219">
        <v>5</v>
      </c>
      <c r="H517" s="219" t="s">
        <v>374</v>
      </c>
    </row>
    <row r="518" spans="2:8">
      <c r="B518" s="217">
        <v>5</v>
      </c>
      <c r="C518" s="217" t="s">
        <v>306</v>
      </c>
      <c r="D518" s="217" t="str">
        <f t="shared" si="26"/>
        <v>5楠中学校</v>
      </c>
      <c r="E518" s="218">
        <v>1</v>
      </c>
      <c r="F518" s="219" t="s">
        <v>400</v>
      </c>
      <c r="G518" s="219">
        <f>IF(F518="校長室",$L$5,IF(F518="職員室",$L$4,IF(F518="保健室",$L$6,IF(F518="相談室",$L$7,IF(F518="会議室",$L$8,"")))))</f>
        <v>4</v>
      </c>
      <c r="H518" s="219" t="str">
        <f>IF(F518="校長室",$M$5,IF(F518="職員室",$M$4,IF(F518="保健室",$M$6,IF(F518="相談室",$M$7,IF(F518="会議室",$M$8,"")))))</f>
        <v>④保健室</v>
      </c>
    </row>
    <row r="519" spans="2:8">
      <c r="B519" s="217">
        <v>6</v>
      </c>
      <c r="C519" s="217" t="s">
        <v>306</v>
      </c>
      <c r="D519" s="217" t="str">
        <f t="shared" si="26"/>
        <v>6楠中学校</v>
      </c>
      <c r="E519" s="218">
        <v>2</v>
      </c>
      <c r="F519" s="219" t="s">
        <v>570</v>
      </c>
      <c r="G519" s="219">
        <v>5</v>
      </c>
      <c r="H519" s="219" t="s">
        <v>374</v>
      </c>
    </row>
    <row r="520" spans="2:8">
      <c r="B520" s="217">
        <v>7</v>
      </c>
      <c r="C520" s="217" t="s">
        <v>306</v>
      </c>
      <c r="D520" s="217" t="str">
        <f t="shared" si="26"/>
        <v>7楠中学校</v>
      </c>
      <c r="E520" s="218">
        <v>3</v>
      </c>
      <c r="F520" s="219" t="s">
        <v>571</v>
      </c>
      <c r="G520" s="219">
        <v>8</v>
      </c>
      <c r="H520" s="219" t="s">
        <v>376</v>
      </c>
    </row>
    <row r="521" spans="2:8">
      <c r="B521" s="217">
        <v>8</v>
      </c>
      <c r="C521" s="217" t="s">
        <v>306</v>
      </c>
      <c r="D521" s="217" t="str">
        <f t="shared" si="26"/>
        <v>8楠中学校</v>
      </c>
      <c r="E521" s="218">
        <v>1</v>
      </c>
      <c r="F521" s="219" t="s">
        <v>573</v>
      </c>
      <c r="G521" s="219">
        <v>6</v>
      </c>
      <c r="H521" s="219" t="s">
        <v>373</v>
      </c>
    </row>
    <row r="522" spans="2:8">
      <c r="B522" s="217">
        <v>9</v>
      </c>
      <c r="C522" s="217" t="s">
        <v>306</v>
      </c>
      <c r="D522" s="217" t="str">
        <f t="shared" si="26"/>
        <v>9楠中学校</v>
      </c>
      <c r="E522" s="218">
        <v>3</v>
      </c>
      <c r="F522" s="219" t="s">
        <v>572</v>
      </c>
      <c r="G522" s="219">
        <v>8</v>
      </c>
      <c r="H522" s="219" t="s">
        <v>376</v>
      </c>
    </row>
    <row r="523" spans="2:8">
      <c r="B523" s="217">
        <v>10</v>
      </c>
      <c r="C523" s="217" t="s">
        <v>306</v>
      </c>
      <c r="D523" s="217" t="str">
        <f t="shared" si="26"/>
        <v>10楠中学校</v>
      </c>
      <c r="E523" s="218">
        <v>1</v>
      </c>
      <c r="F523" s="219" t="s">
        <v>528</v>
      </c>
      <c r="G523" s="219">
        <v>7</v>
      </c>
      <c r="H523" s="219" t="s">
        <v>375</v>
      </c>
    </row>
  </sheetData>
  <autoFilter ref="A2:N523" xr:uid="{00000000-0009-0000-0000-000011000000}"/>
  <phoneticPr fontId="4"/>
  <printOptions horizontalCentered="1" verticalCentered="1"/>
  <pageMargins left="0.25" right="0.25" top="0.75" bottom="0.75" header="0.3" footer="0.3"/>
  <pageSetup paperSize="8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X180"/>
  <sheetViews>
    <sheetView view="pageBreakPreview" topLeftCell="A17" zoomScaleNormal="115" zoomScaleSheetLayoutView="100" workbookViewId="0">
      <selection activeCell="P65" sqref="P65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8.875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8.875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8.875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8.875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8.875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8.875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8.875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8.875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8.875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8.875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8.875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8.875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8.875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8.875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8.875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8.875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8.875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8.875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8.875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8.875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8.875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8.875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8.875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8.875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8.875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8.875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8.875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8.875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8.875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8.875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8.875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8.875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8.875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8.875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8.875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8.875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8.875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8.875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8.875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8.875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8.875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8.875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8.875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8.875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8.875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8.875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8.875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8.875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8.875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8.875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8.875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8.875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8.875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8.875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8.875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8.875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8.875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8.875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8.875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8.875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8.875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8.875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8.875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8.875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SUMIF(料金単価!$B$21:$B$28,'様式11-6①'!$Y$1,料金単価!$A$21:$A$28)</f>
        <v>1</v>
      </c>
      <c r="Y1" s="937" t="s">
        <v>421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41"/>
      <c r="L2" s="141"/>
      <c r="M2" s="142"/>
      <c r="N2" s="142"/>
      <c r="O2" s="142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14</v>
      </c>
      <c r="M7" s="912"/>
      <c r="N7" s="766" t="s">
        <v>378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17</v>
      </c>
      <c r="W7" s="927"/>
      <c r="X7" s="766">
        <v>16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8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8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151</v>
      </c>
      <c r="K9" s="886"/>
      <c r="L9" s="886">
        <f>+L7*$J$8</f>
        <v>112</v>
      </c>
      <c r="M9" s="886"/>
      <c r="N9" s="886" t="str">
        <f>IF(N7="-","-",+N7*$J$8)</f>
        <v>-</v>
      </c>
      <c r="O9" s="886"/>
      <c r="P9" s="886">
        <f>+P7*$J$8</f>
        <v>104</v>
      </c>
      <c r="Q9" s="886"/>
      <c r="R9" s="887" t="s">
        <v>151</v>
      </c>
      <c r="S9" s="850"/>
      <c r="T9" s="850" t="s">
        <v>151</v>
      </c>
      <c r="U9" s="851"/>
      <c r="V9" s="887" t="s">
        <v>151</v>
      </c>
      <c r="W9" s="850"/>
      <c r="X9" s="850" t="s">
        <v>151</v>
      </c>
      <c r="Y9" s="850"/>
      <c r="Z9" s="850" t="s">
        <v>152</v>
      </c>
      <c r="AA9" s="850"/>
      <c r="AB9" s="850" t="s">
        <v>151</v>
      </c>
      <c r="AC9" s="851"/>
      <c r="AD9" s="887" t="s">
        <v>151</v>
      </c>
      <c r="AE9" s="850"/>
      <c r="AF9" s="850" t="s">
        <v>151</v>
      </c>
      <c r="AG9" s="851"/>
      <c r="AH9" s="930">
        <f>SUM(J9:AG9)</f>
        <v>216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120</v>
      </c>
      <c r="K10" s="797"/>
      <c r="L10" s="797" t="s">
        <v>151</v>
      </c>
      <c r="M10" s="797"/>
      <c r="N10" s="797" t="s">
        <v>151</v>
      </c>
      <c r="O10" s="797"/>
      <c r="P10" s="797" t="s">
        <v>151</v>
      </c>
      <c r="Q10" s="799"/>
      <c r="R10" s="845" t="str">
        <f>IF(R7="-","-",+R7*$R$8)</f>
        <v>-</v>
      </c>
      <c r="S10" s="846"/>
      <c r="T10" s="846" t="s">
        <v>152</v>
      </c>
      <c r="U10" s="876"/>
      <c r="V10" s="845">
        <f>IF(V7="-","-",+V7*$V$8)</f>
        <v>136</v>
      </c>
      <c r="W10" s="846"/>
      <c r="X10" s="847">
        <f>IF(X7="-","-",+X7*$V$8)</f>
        <v>128</v>
      </c>
      <c r="Y10" s="874"/>
      <c r="Z10" s="847">
        <f>IF(Z7="-","-",+Z7*$V$8)</f>
        <v>144</v>
      </c>
      <c r="AA10" s="874"/>
      <c r="AB10" s="847">
        <f>IF(AB7="-","-",+AB7*$V$8)</f>
        <v>112</v>
      </c>
      <c r="AC10" s="875"/>
      <c r="AD10" s="845" t="s">
        <v>151</v>
      </c>
      <c r="AE10" s="846"/>
      <c r="AF10" s="846" t="str">
        <f>IF(AF7="-","-",+AF7*$AF$8)</f>
        <v>-</v>
      </c>
      <c r="AG10" s="876"/>
      <c r="AH10" s="828">
        <f>SUM(J10:AG10)</f>
        <v>640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0.35</v>
      </c>
      <c r="K11" s="900"/>
      <c r="L11" s="900">
        <f>70%*SUMIF(室名リスト!$L$3:$L$10,$X$1,室名リスト!$N$3:$N$10)</f>
        <v>0.7</v>
      </c>
      <c r="M11" s="900"/>
      <c r="N11" s="900">
        <f>80%*SUMIF(室名リスト!$L$3:$L$10,$X$1,室名リスト!$N$3:$N$10)</f>
        <v>0.8</v>
      </c>
      <c r="O11" s="900"/>
      <c r="P11" s="900">
        <f>50%*SUMIF(室名リスト!$L$3:$L$10,$X$1,室名リスト!$N$3:$N$10)</f>
        <v>0.5</v>
      </c>
      <c r="Q11" s="901"/>
      <c r="R11" s="902" t="s">
        <v>377</v>
      </c>
      <c r="S11" s="892"/>
      <c r="T11" s="836" t="s">
        <v>151</v>
      </c>
      <c r="U11" s="871"/>
      <c r="V11" s="872">
        <f>45%*SUMIF(室名リスト!$L$3:$L$10,$X$1,室名リスト!$N$3:$N$10)</f>
        <v>0.45</v>
      </c>
      <c r="W11" s="873"/>
      <c r="X11" s="873">
        <f>60%*SUMIF(室名リスト!$L$3:$L$10,$X$1,室名リスト!$N$3:$N$10)</f>
        <v>0.6</v>
      </c>
      <c r="Y11" s="873"/>
      <c r="Z11" s="873">
        <f>60%*SUMIF(室名リスト!$L$3:$L$10,$X$1,室名リスト!$N$3:$N$10)</f>
        <v>0.6</v>
      </c>
      <c r="AA11" s="873"/>
      <c r="AB11" s="873">
        <f>35%*SUMIF(室名リスト!$L$3:$L$10,$X$1,室名リスト!$N$3:$N$10)</f>
        <v>0.35</v>
      </c>
      <c r="AC11" s="891"/>
      <c r="AD11" s="838" t="s">
        <v>82</v>
      </c>
      <c r="AE11" s="836"/>
      <c r="AF11" s="892" t="s">
        <v>381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151</v>
      </c>
      <c r="K12" s="788"/>
      <c r="L12" s="788">
        <f>+L9*L11</f>
        <v>78.399999999999991</v>
      </c>
      <c r="M12" s="788"/>
      <c r="N12" s="788" t="str">
        <f>IF(N9="-","-",+N9*N11)</f>
        <v>-</v>
      </c>
      <c r="O12" s="788"/>
      <c r="P12" s="788">
        <f>+P9*P11</f>
        <v>52</v>
      </c>
      <c r="Q12" s="788"/>
      <c r="R12" s="838" t="s">
        <v>151</v>
      </c>
      <c r="S12" s="836"/>
      <c r="T12" s="836" t="s">
        <v>153</v>
      </c>
      <c r="U12" s="871"/>
      <c r="V12" s="887" t="s">
        <v>152</v>
      </c>
      <c r="W12" s="850"/>
      <c r="X12" s="850" t="s">
        <v>153</v>
      </c>
      <c r="Y12" s="850"/>
      <c r="Z12" s="850" t="s">
        <v>152</v>
      </c>
      <c r="AA12" s="850"/>
      <c r="AB12" s="850" t="s">
        <v>151</v>
      </c>
      <c r="AC12" s="851"/>
      <c r="AD12" s="838" t="s">
        <v>154</v>
      </c>
      <c r="AE12" s="836"/>
      <c r="AF12" s="836" t="s">
        <v>151</v>
      </c>
      <c r="AG12" s="837"/>
      <c r="AH12" s="775">
        <f t="shared" ref="AH12:AH21" si="0">SUM(J12:AG12)</f>
        <v>130.39999999999998</v>
      </c>
      <c r="AI12" s="755"/>
      <c r="AJ12" s="755">
        <f>SUM(AH12:AI13)</f>
        <v>435.99999999999994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42</v>
      </c>
      <c r="K13" s="797"/>
      <c r="L13" s="797" t="s">
        <v>152</v>
      </c>
      <c r="M13" s="797"/>
      <c r="N13" s="797" t="s">
        <v>151</v>
      </c>
      <c r="O13" s="797"/>
      <c r="P13" s="797" t="s">
        <v>151</v>
      </c>
      <c r="Q13" s="799"/>
      <c r="R13" s="845" t="str">
        <f>IF(R10="-","-",+R10*R11)</f>
        <v>-</v>
      </c>
      <c r="S13" s="846"/>
      <c r="T13" s="846" t="s">
        <v>151</v>
      </c>
      <c r="U13" s="847"/>
      <c r="V13" s="848">
        <f>IF(V10="-","-",+V10*V11)</f>
        <v>61.2</v>
      </c>
      <c r="W13" s="849"/>
      <c r="X13" s="798">
        <f>IF(X10="-","-",+X10*X11)</f>
        <v>76.8</v>
      </c>
      <c r="Y13" s="849"/>
      <c r="Z13" s="798">
        <f>IF(Z10="-","-",+Z10*Z11)</f>
        <v>86.399999999999991</v>
      </c>
      <c r="AA13" s="849"/>
      <c r="AB13" s="798">
        <f>IF(AB10="-","-",+AB10*AB11)</f>
        <v>39.199999999999996</v>
      </c>
      <c r="AC13" s="878"/>
      <c r="AD13" s="845" t="s">
        <v>154</v>
      </c>
      <c r="AE13" s="846"/>
      <c r="AF13" s="846" t="str">
        <f>IF(AF10="-","-",+AF10*AF11)</f>
        <v>-</v>
      </c>
      <c r="AG13" s="876"/>
      <c r="AH13" s="828">
        <f t="shared" si="0"/>
        <v>305.59999999999997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152</v>
      </c>
      <c r="K14" s="788"/>
      <c r="L14" s="789">
        <f>IF(L9="-",31*24,31*24-L9)</f>
        <v>632</v>
      </c>
      <c r="M14" s="789"/>
      <c r="N14" s="836">
        <f>IF(N9="-",31*24,31*24-N9)</f>
        <v>744</v>
      </c>
      <c r="O14" s="836"/>
      <c r="P14" s="789">
        <f>IF(P9="-",30*24,30*24-P9)</f>
        <v>616</v>
      </c>
      <c r="Q14" s="877"/>
      <c r="R14" s="838" t="s">
        <v>151</v>
      </c>
      <c r="S14" s="836"/>
      <c r="T14" s="836" t="s">
        <v>152</v>
      </c>
      <c r="U14" s="871"/>
      <c r="V14" s="838" t="s">
        <v>154</v>
      </c>
      <c r="W14" s="836"/>
      <c r="X14" s="836" t="s">
        <v>151</v>
      </c>
      <c r="Y14" s="836"/>
      <c r="Z14" s="836" t="s">
        <v>151</v>
      </c>
      <c r="AA14" s="836"/>
      <c r="AB14" s="836" t="s">
        <v>153</v>
      </c>
      <c r="AC14" s="837"/>
      <c r="AD14" s="838" t="s">
        <v>152</v>
      </c>
      <c r="AE14" s="836"/>
      <c r="AF14" s="836" t="s">
        <v>153</v>
      </c>
      <c r="AG14" s="837"/>
      <c r="AH14" s="775">
        <f t="shared" si="0"/>
        <v>1992</v>
      </c>
      <c r="AI14" s="755"/>
      <c r="AJ14" s="755">
        <f>SUM(AH14:AI15)</f>
        <v>7904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600</v>
      </c>
      <c r="K15" s="764"/>
      <c r="L15" s="765" t="s">
        <v>152</v>
      </c>
      <c r="M15" s="766"/>
      <c r="N15" s="765" t="s">
        <v>152</v>
      </c>
      <c r="O15" s="766"/>
      <c r="P15" s="765" t="s">
        <v>151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608</v>
      </c>
      <c r="W15" s="834"/>
      <c r="X15" s="834">
        <f>IF(X10="-",31*24,31*24-X10)</f>
        <v>616</v>
      </c>
      <c r="Y15" s="834"/>
      <c r="Z15" s="834">
        <f>IF(Z10="-",28*24,28*24-Z10)</f>
        <v>528</v>
      </c>
      <c r="AA15" s="834"/>
      <c r="AB15" s="834">
        <f>IF(AB10="-",31*24,31*24-AB10)</f>
        <v>632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5912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151</v>
      </c>
      <c r="K16" s="861"/>
      <c r="L16" s="862">
        <f>IF(L12="-",0,L12*SUMIF('様式11-5'!$G$92:$G$99,'様式11-6①'!$Y$1,'様式11-5'!$Q$92:$Q$99))+L14*SUMIF('様式11-5'!$G$92:$G$99,'様式11-6①'!$Y$1,'様式11-5'!$T$92:$T$99)</f>
        <v>0</v>
      </c>
      <c r="M16" s="863"/>
      <c r="N16" s="862">
        <f>IF(N12="-",0,N12*SUMIF('様式11-5'!$G$92:$G$99,'様式11-6①'!$Y$1,'様式11-5'!$Q$92:$Q$99))+N14*SUMIF('様式11-5'!$G$92:$G$99,'様式11-6①'!$Y$1,'様式11-5'!$T$92:$T$99)</f>
        <v>0</v>
      </c>
      <c r="O16" s="863"/>
      <c r="P16" s="862">
        <f>IF(P12="-",0,P12*SUMIF('様式11-5'!$G$92:$G$99,'様式11-6①'!$Y$1,'様式11-5'!$Q$92:$Q$99))+P14*SUMIF('様式11-5'!$G$92:$G$99,'様式11-6①'!$Y$1,'様式11-5'!$T$92:$T$99)</f>
        <v>0</v>
      </c>
      <c r="Q16" s="862"/>
      <c r="R16" s="864" t="s">
        <v>150</v>
      </c>
      <c r="S16" s="816"/>
      <c r="T16" s="816" t="s">
        <v>151</v>
      </c>
      <c r="U16" s="865"/>
      <c r="V16" s="864" t="s">
        <v>151</v>
      </c>
      <c r="W16" s="816"/>
      <c r="X16" s="816" t="s">
        <v>153</v>
      </c>
      <c r="Y16" s="816"/>
      <c r="Z16" s="816" t="s">
        <v>151</v>
      </c>
      <c r="AA16" s="816"/>
      <c r="AB16" s="816" t="s">
        <v>153</v>
      </c>
      <c r="AC16" s="817"/>
      <c r="AD16" s="818" t="s">
        <v>153</v>
      </c>
      <c r="AE16" s="816"/>
      <c r="AF16" s="816" t="s">
        <v>152</v>
      </c>
      <c r="AG16" s="817"/>
      <c r="AH16" s="819">
        <f t="shared" si="0"/>
        <v>0</v>
      </c>
      <c r="AI16" s="820"/>
      <c r="AJ16" s="820">
        <f>SUM(AH16:AI17)</f>
        <v>0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IF(J13="-",0,J13*SUMIF('様式11-5'!$G$92:$G$99,'様式11-6①'!$Y$1,'様式11-5'!$Q$92:$Q$99))+J15*SUMIF('様式11-5'!$G$92:$G$99,'様式11-6①'!$Y$1,'様式11-5'!$T$92:$T$99)</f>
        <v>0</v>
      </c>
      <c r="K17" s="844"/>
      <c r="L17" s="797" t="s">
        <v>153</v>
      </c>
      <c r="M17" s="798"/>
      <c r="N17" s="797" t="s">
        <v>151</v>
      </c>
      <c r="O17" s="798"/>
      <c r="P17" s="797" t="s">
        <v>153</v>
      </c>
      <c r="Q17" s="799"/>
      <c r="R17" s="768">
        <f>IF(R13="-",0,R13*SUMIF('様式11-5'!$G$92:$G$99,'様式11-6①'!$Y$1,'様式11-5'!$Q$92:$Q$99))+R15*SUMIF('様式11-5'!$G$92:$G$99,'様式11-6①'!$Y$1,'様式11-5'!$T$92:$T$99)</f>
        <v>0</v>
      </c>
      <c r="S17" s="814"/>
      <c r="T17" s="769">
        <f>IF(T13="-",0,T13*SUMIF('様式11-5'!$G$92:$G$99,'様式11-6①'!$Y$1,'様式11-5'!$R$92:$R$99))+T15*SUMIF('様式11-5'!$G$92:$G$99,'様式11-6①'!$Y$1,'様式11-5'!$T$92:$T$99)</f>
        <v>0</v>
      </c>
      <c r="U17" s="815"/>
      <c r="V17" s="795">
        <f>IF(V13="-",0,V13*SUMIF('様式11-5'!$G$92:$G$99,'様式11-6①'!$Y$1,'様式11-5'!$R$92:$R$99))+V15*SUMIF('様式11-5'!$G$92:$G$99,'様式11-6①'!$Y$1,'様式11-5'!$T$92:$T$99)</f>
        <v>0</v>
      </c>
      <c r="W17" s="796"/>
      <c r="X17" s="824">
        <f>IF(X13="-",0,X13*SUMIF('様式11-5'!$G$92:$G$99,'様式11-6①'!$Y$1,'様式11-5'!$R$92:$R$99))+X15*SUMIF('様式11-5'!$G$92:$G$99,'様式11-6①'!$Y$1,'様式11-5'!$T$92:$T$99)</f>
        <v>0</v>
      </c>
      <c r="Y17" s="825"/>
      <c r="Z17" s="824">
        <f>IF(Z13="-",0,Z13*SUMIF('様式11-5'!$G$92:$G$99,'様式11-6①'!$Y$1,'様式11-5'!$R$92:$R$99))+Z15*SUMIF('様式11-5'!$G$92:$G$99,'様式11-6①'!$Y$1,'様式11-5'!$T$92:$T$99)</f>
        <v>0</v>
      </c>
      <c r="AA17" s="825"/>
      <c r="AB17" s="824">
        <f>IF(AB13="-",0,AB13*SUMIF('様式11-5'!$G$92:$G$99,'様式11-6①'!$Y$1,'様式11-5'!$R$92:$R$99))+AB15*SUMIF('様式11-5'!$G$92:$G$99,'様式11-6①'!$Y$1,'様式11-5'!$T$92:$T$99)</f>
        <v>0</v>
      </c>
      <c r="AC17" s="826"/>
      <c r="AD17" s="827">
        <f>IF(AD13="-",0,AD13*SUMIF('様式11-5'!$G$92:$G$99,'様式11-6①'!$Y$1,'様式11-5'!$R$92:$R$99))+AD15*SUMIF('様式11-5'!$G$92:$G$99,'様式11-6①'!$Y$1,'様式11-5'!$T$92:$T$99)</f>
        <v>0</v>
      </c>
      <c r="AE17" s="769"/>
      <c r="AF17" s="827">
        <f>IF(AF13="-",0,AF13*SUMIF('様式11-5'!$G$92:$G$99,'様式11-6①'!$Y$1,'様式11-5'!$Q$92:$Q$99))+AF15*SUMIF('様式11-5'!$G$92:$G$99,'様式11-6①'!$Y$1,'様式11-5'!$T$92:$T$99)</f>
        <v>0</v>
      </c>
      <c r="AG17" s="769"/>
      <c r="AH17" s="828">
        <f>SUM(J17:AG17)</f>
        <v>0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153</v>
      </c>
      <c r="K18" s="788"/>
      <c r="L18" s="772">
        <f>IF(L9="-",0,L9*SUMIF('様式11-5'!$G$100:$G$107,'様式11-6①'!$Y$1,'様式11-5'!$R$100:$R$107))+L14*SUMIF('様式11-5'!$G$100:$G$107,'様式11-6①'!$Y$1,'様式11-5'!$T$100:$T$107)</f>
        <v>0</v>
      </c>
      <c r="M18" s="772"/>
      <c r="N18" s="772">
        <f>IF(N9="-",0,N9*SUMIF('様式11-5'!$G$100:$G$107,'様式11-6①'!$Y$1,'様式11-5'!$R$100:$R$107))+N14*SUMIF('様式11-5'!$G$100:$G$107,'様式11-6①'!$Y$1,'様式11-5'!$T$100:$T$107)</f>
        <v>0</v>
      </c>
      <c r="O18" s="772"/>
      <c r="P18" s="789">
        <f>IF(P9="-",0,P9*SUMIF('様式11-5'!$G$100:$G$107,'様式11-6①'!$Y$1,'様式11-5'!$R$100:$R$107))+P14*SUMIF('様式11-5'!$G$100:$G$107,'様式11-6①'!$Y$1,'様式11-5'!$T$100:$T$107)</f>
        <v>0</v>
      </c>
      <c r="Q18" s="789"/>
      <c r="R18" s="791" t="s">
        <v>153</v>
      </c>
      <c r="S18" s="772"/>
      <c r="T18" s="772" t="s">
        <v>153</v>
      </c>
      <c r="U18" s="792"/>
      <c r="V18" s="791" t="s">
        <v>153</v>
      </c>
      <c r="W18" s="772"/>
      <c r="X18" s="772" t="s">
        <v>151</v>
      </c>
      <c r="Y18" s="772"/>
      <c r="Z18" s="772" t="s">
        <v>153</v>
      </c>
      <c r="AA18" s="772"/>
      <c r="AB18" s="772" t="s">
        <v>152</v>
      </c>
      <c r="AC18" s="773"/>
      <c r="AD18" s="774" t="s">
        <v>151</v>
      </c>
      <c r="AE18" s="772"/>
      <c r="AF18" s="772" t="s">
        <v>153</v>
      </c>
      <c r="AG18" s="773"/>
      <c r="AH18" s="775">
        <f t="shared" si="0"/>
        <v>0</v>
      </c>
      <c r="AI18" s="755"/>
      <c r="AJ18" s="755">
        <f>SUM(AH18:AI19)</f>
        <v>0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IF(J10="-",0,J10*SUMIF('様式11-5'!$G$100:$G$107,'様式11-6①'!$Y$1,'様式11-5'!$R$100:$R$107))+J15*SUMIF('様式11-5'!$G$100:$G$107,'様式11-6①'!$Y$1,'様式11-5'!$T$100:$T$107)</f>
        <v>0</v>
      </c>
      <c r="K19" s="796"/>
      <c r="L19" s="797" t="s">
        <v>153</v>
      </c>
      <c r="M19" s="798"/>
      <c r="N19" s="797" t="s">
        <v>153</v>
      </c>
      <c r="O19" s="798"/>
      <c r="P19" s="797" t="s">
        <v>150</v>
      </c>
      <c r="Q19" s="799"/>
      <c r="R19" s="768">
        <f>IF(R10="-",0,R10*SUMIF('様式11-5'!$G$100:$G$107,'様式11-6①'!$Y$1,'様式11-5'!$R$100:$R$107))+R15*SUMIF('様式11-5'!$G$100:$G$107,'様式11-6①'!$Y$1,'様式11-5'!$T$100:$T$107)</f>
        <v>0</v>
      </c>
      <c r="S19" s="769"/>
      <c r="T19" s="814">
        <f>IF(T10="-",0,T10*SUMIF('様式11-5'!$G$100:$G$107,'様式11-6①'!$Y$1,'様式11-5'!$R$100:$R$107))+T15*SUMIF('様式11-5'!$G$100:$G$107,'様式11-6①'!$Y$1,'様式11-5'!$T$100:$T$107)</f>
        <v>0</v>
      </c>
      <c r="U19" s="831"/>
      <c r="V19" s="832">
        <f>IF(V10="-",0,V10*SUMIF('様式11-5'!$G$100:$G$107,'様式11-6①'!$Y$1,'様式11-5'!$R$100:$R$107))+V15*SUMIF('様式11-5'!$G$100:$G$107,'様式11-6①'!$Y$1,'様式11-5'!$T$100:$T$107)</f>
        <v>0</v>
      </c>
      <c r="W19" s="825"/>
      <c r="X19" s="824">
        <f>IF(X10="-",0,X10*SUMIF('様式11-5'!$G$100:$G$107,'様式11-6①'!$Y$1,'様式11-5'!$R$100:$R$107))+X15*SUMIF('様式11-5'!$G$100:$G$107,'様式11-6①'!$Y$1,'様式11-5'!$T$100:$T$107)</f>
        <v>0</v>
      </c>
      <c r="Y19" s="825"/>
      <c r="Z19" s="824">
        <f>IF(Z10="-",0,Z10*SUMIF('様式11-5'!$G$100:$G$107,'様式11-6①'!$Y$1,'様式11-5'!$R$100:$R$107))+Z15*SUMIF('様式11-5'!$G$100:$G$107,'様式11-6①'!$Y$1,'様式11-5'!$T$100:$T$107)</f>
        <v>0</v>
      </c>
      <c r="AA19" s="825"/>
      <c r="AB19" s="824">
        <f>IF(AB10="-",0,AB10*SUMIF('様式11-5'!$G$100:$G$107,'様式11-6①'!$Y$1,'様式11-5'!$R$100:$R$107))+AB15*SUMIF('様式11-5'!$G$100:$G$107,'様式11-6①'!$Y$1,'様式11-5'!$T$100:$T$107)</f>
        <v>0</v>
      </c>
      <c r="AC19" s="826"/>
      <c r="AD19" s="827">
        <f>IF(AD10="-",0,AD10*SUMIF('様式11-5'!$G$100:$G$107,'様式11-6①'!$Y$1,'様式11-5'!$R$100:$R$107))+AD15*SUMIF('様式11-5'!$G$100:$G$107,'様式11-6①'!$Y$1,'様式11-5'!$T$100:$T$107)</f>
        <v>0</v>
      </c>
      <c r="AE19" s="769"/>
      <c r="AF19" s="827">
        <f>IF(AF10="-",0,AF10*SUMIF('様式11-5'!$G$100:$G$107,'様式11-6①'!$Y$1,'様式11-5'!$R$100:$R$107))+AF15*SUMIF('様式11-5'!$G$100:$G$107,'様式11-6①'!$Y$1,'様式11-5'!$T$100:$T$107)</f>
        <v>0</v>
      </c>
      <c r="AG19" s="769"/>
      <c r="AH19" s="828">
        <f t="shared" si="0"/>
        <v>0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153</v>
      </c>
      <c r="K20" s="788"/>
      <c r="L20" s="789">
        <f>IF(L9="-",0,L9*SUMIF('様式11-5'!$G$108:$G$115,'様式11-6①'!$Y$1,'様式11-5'!$Q$108:$Q$115))+L14*SUMIF('様式11-5'!$G$108:$G$115,'様式11-6①'!$Y$1,'様式11-5'!$T$108:$T$115)</f>
        <v>0</v>
      </c>
      <c r="M20" s="790"/>
      <c r="N20" s="789">
        <f>IF(N9="-",0,N9*SUMIF('様式11-5'!$G$108:$G$115,'様式11-6①'!$Y$1,'様式11-5'!$Q$108:$Q$115))+N14*SUMIF('様式11-5'!$G$108:$G$115,'様式11-6①'!$Y$1,'様式11-5'!$T$108:$T$115)</f>
        <v>0</v>
      </c>
      <c r="O20" s="790"/>
      <c r="P20" s="789">
        <f>IF(P9="-",0,P9*SUMIF('様式11-5'!$G$108:$G$115,'様式11-6①'!$Y$1,'様式11-5'!$Q$108:$Q$115))+P14*SUMIF('様式11-5'!$G$108:$G$115,'様式11-6①'!$Y$1,'様式11-5'!$T$108:$T$115)</f>
        <v>0</v>
      </c>
      <c r="Q20" s="789"/>
      <c r="R20" s="791" t="s">
        <v>153</v>
      </c>
      <c r="S20" s="772"/>
      <c r="T20" s="772" t="s">
        <v>153</v>
      </c>
      <c r="U20" s="792"/>
      <c r="V20" s="791" t="s">
        <v>153</v>
      </c>
      <c r="W20" s="772"/>
      <c r="X20" s="772" t="s">
        <v>153</v>
      </c>
      <c r="Y20" s="772"/>
      <c r="Z20" s="772" t="s">
        <v>151</v>
      </c>
      <c r="AA20" s="772"/>
      <c r="AB20" s="772" t="s">
        <v>153</v>
      </c>
      <c r="AC20" s="773"/>
      <c r="AD20" s="774" t="s">
        <v>153</v>
      </c>
      <c r="AE20" s="772"/>
      <c r="AF20" s="772" t="s">
        <v>153</v>
      </c>
      <c r="AG20" s="773"/>
      <c r="AH20" s="775">
        <f t="shared" si="0"/>
        <v>0</v>
      </c>
      <c r="AI20" s="755"/>
      <c r="AJ20" s="755">
        <f>SUM(AH20:AI21)</f>
        <v>0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IF(J10="-",0,J10*SUMIF('様式11-5'!$G$108:$G$115,'様式11-6①'!$Y$1,'様式11-5'!$Q$108:$Q$115))+J15*SUMIF('様式11-5'!$G$108:$G$115,'様式11-6①'!$Y$1,'様式11-5'!$T$108:$T$115)</f>
        <v>0</v>
      </c>
      <c r="K21" s="764"/>
      <c r="L21" s="765" t="s">
        <v>153</v>
      </c>
      <c r="M21" s="766"/>
      <c r="N21" s="765" t="s">
        <v>153</v>
      </c>
      <c r="O21" s="766"/>
      <c r="P21" s="765" t="s">
        <v>153</v>
      </c>
      <c r="Q21" s="767"/>
      <c r="R21" s="768">
        <f>IF(R10="-",0,R10*SUMIF('様式11-5'!$G$108:$G$115,'様式11-6①'!$Y$1,'様式11-5'!$Q$108:$Q$115))+R15*SUMIF('様式11-5'!$G$108:$G$115,'様式11-6①'!$Y$1,'様式11-5'!$T$108:$T$115)</f>
        <v>0</v>
      </c>
      <c r="S21" s="769"/>
      <c r="T21" s="720">
        <f>IF(T10="-",0,T10*SUMIF('様式11-5'!$G$108:$G$115,'様式11-6①'!$Y$1,'様式11-5'!$R$108:$R$115))+T15*SUMIF('様式11-5'!$G$108:$G$115,'様式11-6①'!$Y$1,'様式11-5'!$T$108:$T$115)</f>
        <v>0</v>
      </c>
      <c r="U21" s="722"/>
      <c r="V21" s="770">
        <f>IF(V10="-",0,V10*SUMIF('様式11-5'!$G$108:$G$115,'様式11-6①'!$Y$1,'様式11-5'!$R$108:$R$115))+V15*SUMIF('様式11-5'!$G$108:$G$115,'様式11-6①'!$Y$1,'様式11-5'!$T$108:$T$115)</f>
        <v>0</v>
      </c>
      <c r="W21" s="771"/>
      <c r="X21" s="748">
        <f>IF(X10="-",0,X10*SUMIF('様式11-5'!$G$108:$G$115,'様式11-6①'!$Y$1,'様式11-5'!$R$108:$R$115))+X15*SUMIF('様式11-5'!$G$108:$G$115,'様式11-6①'!$Y$1,'様式11-5'!$T$108:$T$115)</f>
        <v>0</v>
      </c>
      <c r="Y21" s="749"/>
      <c r="Z21" s="748">
        <f>IF(Z10="-",0,Z10*SUMIF('様式11-5'!$G$108:$G$115,'様式11-6①'!$Y$1,'様式11-5'!$R$108:$R$115))+Z15*SUMIF('様式11-5'!$G$108:$G$115,'様式11-6①'!$Y$1,'様式11-5'!$T$108:$T$115)</f>
        <v>0</v>
      </c>
      <c r="AA21" s="749"/>
      <c r="AB21" s="748">
        <f>IF(AB10="-",0,AB10*SUMIF('様式11-5'!$G$108:$G$115,'様式11-6①'!$Y$1,'様式11-5'!$R$108:$R$115))+AB15*SUMIF('様式11-5'!$G$108:$G$115,'様式11-6①'!$Y$1,'様式11-5'!$T$108:$T$115)</f>
        <v>0</v>
      </c>
      <c r="AC21" s="750"/>
      <c r="AD21" s="751">
        <f>IF(AD10="-",0,AD10*SUMIF('様式11-5'!$G$108:$G$115,'様式11-6①'!$Y$1,'様式11-5'!$R$108:$R$115))+AD15*SUMIF('様式11-5'!$G$108:$G$115,'様式11-6①'!$Y$1,'様式11-5'!$T$108:$T$115)</f>
        <v>0</v>
      </c>
      <c r="AE21" s="752"/>
      <c r="AF21" s="751">
        <f>IF(AF10="-",0,AF10*SUMIF('様式11-5'!$G$108:$G$115,'様式11-6①'!$Y$1,'様式11-5'!$Q$108:$Q$115))+AF15*SUMIF('様式11-5'!$G$108:$G$115,'様式11-6①'!$Y$1,'様式11-5'!$T$108:$T$115)</f>
        <v>0</v>
      </c>
      <c r="AG21" s="752"/>
      <c r="AH21" s="753">
        <f t="shared" si="0"/>
        <v>0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IF(J13="-",0,J13*SUMIF('様式11-5'!$G$92:$G$99,'様式11-6①'!$Y$1,'様式11-5'!$X$92:$X$99))</f>
        <v>0</v>
      </c>
      <c r="K22" s="807"/>
      <c r="L22" s="808">
        <f>IF(L12="-",0,L12*SUMIF('様式11-5'!$G$92:$G$99,'様式11-6①'!$Y$1,'様式11-5'!$X$92:$X$99))</f>
        <v>0</v>
      </c>
      <c r="M22" s="809"/>
      <c r="N22" s="810">
        <f>IF(N12="-",0,N12*SUMIF('様式11-5'!$G$92:$G$99,'様式11-6①'!$Y$1,'様式11-5'!$X$92:$X$99))</f>
        <v>0</v>
      </c>
      <c r="O22" s="810"/>
      <c r="P22" s="808">
        <f>IF(P12="-",0,P12*SUMIF('様式11-5'!$G$92:$G$99,'様式11-6①'!$Y$1,'様式11-5'!$X$92:$X$99))</f>
        <v>0</v>
      </c>
      <c r="Q22" s="811"/>
      <c r="R22" s="812">
        <f>IF(R13="-",0,R13*SUMIF('様式11-5'!$G$92:$G$99,'様式11-6①'!$Y$1,'様式11-5'!$X$92:$X$99))</f>
        <v>0</v>
      </c>
      <c r="S22" s="743"/>
      <c r="T22" s="743">
        <f>IF(T13="-",0,T13*SUMIF('様式11-5'!$G$92:$G$99,'様式11-6①'!$Y$1,'様式11-5'!$X$92:$X$99))</f>
        <v>0</v>
      </c>
      <c r="U22" s="813"/>
      <c r="V22" s="812" t="s">
        <v>153</v>
      </c>
      <c r="W22" s="743"/>
      <c r="X22" s="743" t="s">
        <v>153</v>
      </c>
      <c r="Y22" s="743"/>
      <c r="Z22" s="743" t="s">
        <v>153</v>
      </c>
      <c r="AA22" s="743"/>
      <c r="AB22" s="743" t="s">
        <v>153</v>
      </c>
      <c r="AC22" s="744"/>
      <c r="AD22" s="745">
        <f>IF(AD13="-",0,AD13*SUMIF('様式11-5'!$G$92:$G$99,'様式11-6①'!$Y$1,'様式11-5'!$Y$92:$Y$99))</f>
        <v>0</v>
      </c>
      <c r="AE22" s="743"/>
      <c r="AF22" s="743">
        <f>IF(AF13="-",0,AF13*SUMIF('様式11-5'!$G$92:$G$99,'様式11-6①'!$Y$1,'様式11-5'!$X$92:$X$99))</f>
        <v>0</v>
      </c>
      <c r="AG22" s="744"/>
      <c r="AH22" s="746">
        <f>SUM(J22:AG22)</f>
        <v>0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153</v>
      </c>
      <c r="K23" s="737"/>
      <c r="L23" s="737" t="s">
        <v>153</v>
      </c>
      <c r="M23" s="737"/>
      <c r="N23" s="737" t="s">
        <v>153</v>
      </c>
      <c r="O23" s="737"/>
      <c r="P23" s="737" t="s">
        <v>153</v>
      </c>
      <c r="Q23" s="738"/>
      <c r="R23" s="739" t="s">
        <v>153</v>
      </c>
      <c r="S23" s="724"/>
      <c r="T23" s="724" t="s">
        <v>153</v>
      </c>
      <c r="U23" s="740"/>
      <c r="V23" s="741">
        <f>IF(V13="-",0,V13*SUMIF('様式11-5'!$G$92:$G$99,'様式11-6①'!$Y$1,'様式11-5'!$Y$92:$Y$99))</f>
        <v>0</v>
      </c>
      <c r="W23" s="742"/>
      <c r="X23" s="720">
        <f>IF(X13="-",0,X13*SUMIF('様式11-5'!$G$92:$G$99,'様式11-6①'!$Y$1,'様式11-5'!$Y$92:$Y$99))</f>
        <v>0</v>
      </c>
      <c r="Y23" s="721"/>
      <c r="Z23" s="720">
        <f>IF(Z13="-",0,Z13*SUMIF('様式11-5'!$G$92:$G$99,'様式11-6①'!$Y$1,'様式11-5'!$Y$92:$Y$99))</f>
        <v>0</v>
      </c>
      <c r="AA23" s="721"/>
      <c r="AB23" s="720">
        <f>IF(AB13="-",0,AB13*SUMIF('様式11-5'!$G$92:$G$99,'様式11-6①'!$Y$1,'様式11-5'!$Y$92:$Y$99))</f>
        <v>0</v>
      </c>
      <c r="AC23" s="722"/>
      <c r="AD23" s="723" t="s">
        <v>151</v>
      </c>
      <c r="AE23" s="724"/>
      <c r="AF23" s="724" t="s">
        <v>153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0</v>
      </c>
      <c r="S27" s="548"/>
      <c r="T27" s="28" t="s">
        <v>71</v>
      </c>
      <c r="U27" s="28"/>
      <c r="V27" s="28"/>
      <c r="W27" s="549">
        <f>SUMIF('様式11-5'!$G$92:$G$99,'様式11-6①'!$Y$1,'様式11-5'!$Q$92:$Q$99)+SUMIF('様式11-5'!$G$100:$G$107,'様式11-6①'!$Y$1,'様式11-5'!$R$100:$R$107)+SUMIF('様式11-5'!$G$108:$G$115,'様式11-6①'!$Y$1,'様式11-5'!$Q$108:$Q$115)</f>
        <v>0</v>
      </c>
      <c r="X27" s="549"/>
      <c r="Y27" s="28" t="s">
        <v>155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0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156</v>
      </c>
      <c r="AQ27" s="662"/>
      <c r="AR27" s="663">
        <f>AN27*AB30/1000</f>
        <v>0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158</v>
      </c>
      <c r="U28" s="149">
        <f>料金単価!$F$3</f>
        <v>7.29</v>
      </c>
      <c r="V28" s="148" t="s">
        <v>158</v>
      </c>
      <c r="W28" s="150">
        <f>料金単価!$G$3</f>
        <v>3.45</v>
      </c>
      <c r="X28" s="151" t="s">
        <v>159</v>
      </c>
      <c r="Y28" s="24" t="s">
        <v>61</v>
      </c>
      <c r="Z28" s="151"/>
      <c r="AA28" s="32"/>
      <c r="AB28" s="702">
        <f>J$17+J$19+J$21</f>
        <v>0</v>
      </c>
      <c r="AC28" s="702"/>
      <c r="AD28" s="24" t="s">
        <v>160</v>
      </c>
      <c r="AE28" s="24"/>
      <c r="AF28" s="24"/>
      <c r="AG28" s="152"/>
      <c r="AH28" s="648">
        <f>(S28+U28+W28)*AB28</f>
        <v>0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153"/>
      <c r="J29" s="154"/>
      <c r="K29" s="154"/>
      <c r="L29" s="155"/>
      <c r="M29" s="155"/>
      <c r="N29" s="155"/>
      <c r="O29" s="155"/>
      <c r="P29" s="155"/>
      <c r="Q29" s="156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162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7"/>
      <c r="S30" s="27"/>
      <c r="T30" s="25"/>
      <c r="U30" s="25"/>
      <c r="V30" s="25"/>
      <c r="W30" s="165"/>
      <c r="X30" s="166"/>
      <c r="Y30" s="166"/>
      <c r="Z30" s="167"/>
      <c r="AA30" s="168"/>
      <c r="AB30" s="711">
        <f>SUM(AB28:AC28)</f>
        <v>0</v>
      </c>
      <c r="AC30" s="711"/>
      <c r="AD30" s="169" t="s">
        <v>57</v>
      </c>
      <c r="AE30" s="25"/>
      <c r="AF30" s="25"/>
      <c r="AG30" s="25"/>
      <c r="AH30" s="712">
        <f>SUM(AH27:AK28)</f>
        <v>0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161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53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162</v>
      </c>
      <c r="AQ31" s="662"/>
      <c r="AR31" s="663">
        <f>AN31*X33/1000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163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164</v>
      </c>
      <c r="W32" s="173">
        <f>料金単価!$F$7</f>
        <v>14.55</v>
      </c>
      <c r="X32" s="174" t="s">
        <v>165</v>
      </c>
      <c r="Y32" s="155" t="s">
        <v>166</v>
      </c>
      <c r="Z32" s="719">
        <f>IF('様式11-5'!U$1="LPG",0,J$22)</f>
        <v>0</v>
      </c>
      <c r="AA32" s="719"/>
      <c r="AB32" s="23" t="s">
        <v>167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7"/>
      <c r="S33" s="27"/>
      <c r="T33" s="25"/>
      <c r="U33" s="25"/>
      <c r="V33" s="25"/>
      <c r="W33" s="165"/>
      <c r="X33" s="166"/>
      <c r="Y33" s="166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168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53" t="s">
        <v>51</v>
      </c>
      <c r="AD34" s="28"/>
      <c r="AE34" s="28"/>
      <c r="AF34" s="28"/>
      <c r="AG34" s="28"/>
      <c r="AH34" s="640">
        <f>IF(AH22+AH23=0,0,R34*AB34)</f>
        <v>0</v>
      </c>
      <c r="AI34" s="641"/>
      <c r="AJ34" s="641"/>
      <c r="AK34" s="642"/>
      <c r="AL34" s="617" t="s">
        <v>168</v>
      </c>
      <c r="AM34" s="618"/>
      <c r="AN34" s="594">
        <v>6</v>
      </c>
      <c r="AO34" s="595"/>
      <c r="AP34" s="613" t="s">
        <v>169</v>
      </c>
      <c r="AQ34" s="614"/>
      <c r="AR34" s="625">
        <f>AN34*X36/1000</f>
        <v>0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0</v>
      </c>
      <c r="Y35" s="644"/>
      <c r="Z35" s="23" t="s">
        <v>170</v>
      </c>
      <c r="AA35" s="23"/>
      <c r="AB35" s="23"/>
      <c r="AC35" s="24"/>
      <c r="AD35" s="23"/>
      <c r="AE35" s="23"/>
      <c r="AF35" s="23"/>
      <c r="AG35" s="23"/>
      <c r="AH35" s="558">
        <f>R35*X35</f>
        <v>0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7"/>
      <c r="S36" s="27"/>
      <c r="T36" s="25"/>
      <c r="U36" s="25"/>
      <c r="V36" s="25"/>
      <c r="W36" s="165"/>
      <c r="X36" s="716">
        <f>SUM(X35:Y35)</f>
        <v>0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0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0</v>
      </c>
      <c r="S38" s="548"/>
      <c r="T38" s="28" t="s">
        <v>71</v>
      </c>
      <c r="U38" s="28"/>
      <c r="V38" s="28"/>
      <c r="W38" s="549">
        <f>$W$27</f>
        <v>0</v>
      </c>
      <c r="X38" s="549"/>
      <c r="Y38" s="28" t="s">
        <v>171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0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156</v>
      </c>
      <c r="AQ38" s="662"/>
      <c r="AR38" s="663">
        <f>AN38*AB41/1000</f>
        <v>0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158</v>
      </c>
      <c r="U39" s="149">
        <f>$U$28</f>
        <v>7.29</v>
      </c>
      <c r="V39" s="148" t="s">
        <v>158</v>
      </c>
      <c r="W39" s="150">
        <f>$W$28</f>
        <v>3.45</v>
      </c>
      <c r="X39" s="151" t="s">
        <v>172</v>
      </c>
      <c r="Y39" s="24" t="s">
        <v>61</v>
      </c>
      <c r="Z39" s="151"/>
      <c r="AA39" s="32"/>
      <c r="AB39" s="702">
        <f>L$16+L$18+L$20</f>
        <v>0</v>
      </c>
      <c r="AC39" s="702"/>
      <c r="AD39" s="24" t="s">
        <v>160</v>
      </c>
      <c r="AE39" s="24"/>
      <c r="AF39" s="24"/>
      <c r="AG39" s="152"/>
      <c r="AH39" s="648">
        <f>(S39+U39+W39)*AB39</f>
        <v>0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153"/>
      <c r="J40" s="154"/>
      <c r="K40" s="154"/>
      <c r="L40" s="155"/>
      <c r="M40" s="155"/>
      <c r="N40" s="155"/>
      <c r="O40" s="155"/>
      <c r="P40" s="155"/>
      <c r="Q40" s="1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162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7"/>
      <c r="S41" s="27"/>
      <c r="T41" s="25"/>
      <c r="U41" s="25"/>
      <c r="V41" s="25"/>
      <c r="W41" s="165"/>
      <c r="X41" s="166"/>
      <c r="Y41" s="166"/>
      <c r="Z41" s="167"/>
      <c r="AA41" s="168"/>
      <c r="AB41" s="711">
        <f>SUM(AB39:AC39)</f>
        <v>0</v>
      </c>
      <c r="AC41" s="711"/>
      <c r="AD41" s="169" t="s">
        <v>57</v>
      </c>
      <c r="AE41" s="25"/>
      <c r="AF41" s="25"/>
      <c r="AG41" s="25"/>
      <c r="AH41" s="712">
        <f>SUM(AH38:AK39)</f>
        <v>0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163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53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169</v>
      </c>
      <c r="AQ42" s="662"/>
      <c r="AR42" s="663">
        <f>AN42*X44/1000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132.49</v>
      </c>
      <c r="T43" s="556"/>
      <c r="U43" s="23" t="s">
        <v>48</v>
      </c>
      <c r="V43" s="172" t="s">
        <v>173</v>
      </c>
      <c r="W43" s="173">
        <f>W32</f>
        <v>14.55</v>
      </c>
      <c r="X43" s="174" t="s">
        <v>174</v>
      </c>
      <c r="Y43" s="155" t="s">
        <v>175</v>
      </c>
      <c r="Z43" s="719">
        <f>IF('様式11-5'!U$1="LPG",0,L$22)</f>
        <v>0</v>
      </c>
      <c r="AA43" s="719"/>
      <c r="AB43" s="23" t="s">
        <v>176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7"/>
      <c r="S44" s="27"/>
      <c r="T44" s="25"/>
      <c r="U44" s="25"/>
      <c r="V44" s="25"/>
      <c r="W44" s="165"/>
      <c r="X44" s="166"/>
      <c r="Y44" s="166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177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53" t="s">
        <v>51</v>
      </c>
      <c r="AD45" s="28"/>
      <c r="AE45" s="28"/>
      <c r="AF45" s="28"/>
      <c r="AG45" s="28"/>
      <c r="AH45" s="640">
        <f>IF(AH33+AH34=0,0,R45*AB45)</f>
        <v>0</v>
      </c>
      <c r="AI45" s="641"/>
      <c r="AJ45" s="641"/>
      <c r="AK45" s="642"/>
      <c r="AL45" s="617" t="s">
        <v>178</v>
      </c>
      <c r="AM45" s="618"/>
      <c r="AN45" s="594">
        <f>AN34</f>
        <v>6</v>
      </c>
      <c r="AO45" s="595"/>
      <c r="AP45" s="613" t="s">
        <v>179</v>
      </c>
      <c r="AQ45" s="614"/>
      <c r="AR45" s="625">
        <f>AN45*X47/1000</f>
        <v>0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0</v>
      </c>
      <c r="Y46" s="644"/>
      <c r="Z46" s="23" t="s">
        <v>176</v>
      </c>
      <c r="AA46" s="23"/>
      <c r="AB46" s="23"/>
      <c r="AC46" s="24"/>
      <c r="AD46" s="23"/>
      <c r="AE46" s="23"/>
      <c r="AF46" s="23"/>
      <c r="AG46" s="23"/>
      <c r="AH46" s="558">
        <f>R46*X46</f>
        <v>0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7"/>
      <c r="S47" s="27"/>
      <c r="T47" s="25"/>
      <c r="U47" s="25"/>
      <c r="V47" s="25"/>
      <c r="W47" s="165"/>
      <c r="X47" s="716">
        <f>SUM(X46:Y46)</f>
        <v>0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0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0</v>
      </c>
      <c r="S49" s="548"/>
      <c r="T49" s="28" t="s">
        <v>71</v>
      </c>
      <c r="U49" s="28"/>
      <c r="V49" s="28"/>
      <c r="W49" s="549">
        <f>$W$27</f>
        <v>0</v>
      </c>
      <c r="X49" s="549"/>
      <c r="Y49" s="28" t="s">
        <v>180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0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181</v>
      </c>
      <c r="AQ49" s="662"/>
      <c r="AR49" s="663">
        <f>AN49*AB52/1000</f>
        <v>0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182</v>
      </c>
      <c r="S50" s="33">
        <f>IF(P50="夏季",料金単価!$D$3,料金単価!$E$3)</f>
        <v>13.49</v>
      </c>
      <c r="T50" s="148" t="s">
        <v>183</v>
      </c>
      <c r="U50" s="149">
        <f>$U$28</f>
        <v>7.29</v>
      </c>
      <c r="V50" s="148" t="s">
        <v>184</v>
      </c>
      <c r="W50" s="150">
        <f>$W$28</f>
        <v>3.45</v>
      </c>
      <c r="X50" s="151" t="s">
        <v>159</v>
      </c>
      <c r="Y50" s="24" t="s">
        <v>61</v>
      </c>
      <c r="Z50" s="151"/>
      <c r="AA50" s="32"/>
      <c r="AB50" s="702">
        <f>N$16+N$18+N$20</f>
        <v>0</v>
      </c>
      <c r="AC50" s="702"/>
      <c r="AD50" s="24" t="s">
        <v>185</v>
      </c>
      <c r="AE50" s="24"/>
      <c r="AF50" s="24"/>
      <c r="AG50" s="152"/>
      <c r="AH50" s="648">
        <f>(S50+U50+W50)*AB50</f>
        <v>0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153"/>
      <c r="J51" s="154"/>
      <c r="K51" s="154"/>
      <c r="L51" s="155"/>
      <c r="M51" s="155"/>
      <c r="N51" s="155"/>
      <c r="O51" s="155"/>
      <c r="P51" s="155"/>
      <c r="Q51" s="1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162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7"/>
      <c r="S52" s="27"/>
      <c r="T52" s="25"/>
      <c r="U52" s="25"/>
      <c r="V52" s="25"/>
      <c r="W52" s="165"/>
      <c r="X52" s="166"/>
      <c r="Y52" s="166"/>
      <c r="Z52" s="167"/>
      <c r="AA52" s="168"/>
      <c r="AB52" s="711">
        <f>SUM(AB50:AC50)</f>
        <v>0</v>
      </c>
      <c r="AC52" s="711"/>
      <c r="AD52" s="169" t="s">
        <v>57</v>
      </c>
      <c r="AE52" s="25"/>
      <c r="AF52" s="25"/>
      <c r="AG52" s="25"/>
      <c r="AH52" s="712">
        <f>SUM(AH49:AK50)</f>
        <v>0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186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53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169</v>
      </c>
      <c r="AQ53" s="662"/>
      <c r="AR53" s="663">
        <f>AN53*X55/1000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163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132.49</v>
      </c>
      <c r="T54" s="556"/>
      <c r="U54" s="23" t="s">
        <v>48</v>
      </c>
      <c r="V54" s="172" t="s">
        <v>164</v>
      </c>
      <c r="W54" s="173">
        <f>W43</f>
        <v>14.55</v>
      </c>
      <c r="X54" s="174" t="s">
        <v>187</v>
      </c>
      <c r="Y54" s="155" t="s">
        <v>166</v>
      </c>
      <c r="Z54" s="665">
        <f>IF('様式11-5'!U$1="LPG",0,N$22)</f>
        <v>0</v>
      </c>
      <c r="AA54" s="665"/>
      <c r="AB54" s="23" t="s">
        <v>176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7"/>
      <c r="S55" s="27"/>
      <c r="T55" s="25"/>
      <c r="U55" s="25"/>
      <c r="V55" s="25"/>
      <c r="W55" s="165"/>
      <c r="X55" s="166"/>
      <c r="Y55" s="166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188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53" t="s">
        <v>51</v>
      </c>
      <c r="AD56" s="28"/>
      <c r="AE56" s="28"/>
      <c r="AF56" s="28"/>
      <c r="AG56" s="28"/>
      <c r="AH56" s="640">
        <f>IF(AH44+AH45=0,0,R56*AB56)</f>
        <v>0</v>
      </c>
      <c r="AI56" s="641"/>
      <c r="AJ56" s="641"/>
      <c r="AK56" s="642"/>
      <c r="AL56" s="617" t="s">
        <v>188</v>
      </c>
      <c r="AM56" s="618"/>
      <c r="AN56" s="594">
        <f>AN45</f>
        <v>6</v>
      </c>
      <c r="AO56" s="595"/>
      <c r="AP56" s="613" t="s">
        <v>189</v>
      </c>
      <c r="AQ56" s="614"/>
      <c r="AR56" s="625">
        <f>AN56*X58/1000</f>
        <v>0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0</v>
      </c>
      <c r="Y57" s="644"/>
      <c r="Z57" s="23" t="s">
        <v>167</v>
      </c>
      <c r="AA57" s="23"/>
      <c r="AB57" s="23"/>
      <c r="AC57" s="24"/>
      <c r="AD57" s="23"/>
      <c r="AE57" s="23"/>
      <c r="AF57" s="23"/>
      <c r="AG57" s="23"/>
      <c r="AH57" s="558">
        <f>R57*X57</f>
        <v>0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7"/>
      <c r="S58" s="27"/>
      <c r="T58" s="25"/>
      <c r="U58" s="25"/>
      <c r="V58" s="25"/>
      <c r="W58" s="165"/>
      <c r="X58" s="716">
        <f>SUM(X57:Y57)</f>
        <v>0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0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0</v>
      </c>
      <c r="S60" s="548"/>
      <c r="T60" s="28" t="s">
        <v>71</v>
      </c>
      <c r="U60" s="28"/>
      <c r="V60" s="28"/>
      <c r="W60" s="549">
        <f>$W$27</f>
        <v>0</v>
      </c>
      <c r="X60" s="549"/>
      <c r="Y60" s="28" t="s">
        <v>180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0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181</v>
      </c>
      <c r="AQ60" s="662"/>
      <c r="AR60" s="663">
        <f>AN60*AB63/1000</f>
        <v>0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158</v>
      </c>
      <c r="U61" s="149">
        <f>$U$28</f>
        <v>7.29</v>
      </c>
      <c r="V61" s="148" t="s">
        <v>183</v>
      </c>
      <c r="W61" s="150">
        <f>$W$28</f>
        <v>3.45</v>
      </c>
      <c r="X61" s="151" t="s">
        <v>190</v>
      </c>
      <c r="Y61" s="24" t="s">
        <v>61</v>
      </c>
      <c r="Z61" s="151"/>
      <c r="AA61" s="32"/>
      <c r="AB61" s="702">
        <f>P$16+P$18+P$20</f>
        <v>0</v>
      </c>
      <c r="AC61" s="702"/>
      <c r="AD61" s="24" t="s">
        <v>191</v>
      </c>
      <c r="AE61" s="24"/>
      <c r="AF61" s="24"/>
      <c r="AG61" s="152"/>
      <c r="AH61" s="648">
        <f>(S61+U61+W61)*AB61</f>
        <v>0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153"/>
      <c r="J62" s="154"/>
      <c r="K62" s="154"/>
      <c r="L62" s="155"/>
      <c r="M62" s="155"/>
      <c r="N62" s="155"/>
      <c r="O62" s="155"/>
      <c r="P62" s="155"/>
      <c r="Q62" s="1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162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7"/>
      <c r="S63" s="27"/>
      <c r="T63" s="25"/>
      <c r="U63" s="25"/>
      <c r="V63" s="25"/>
      <c r="W63" s="165"/>
      <c r="X63" s="166"/>
      <c r="Y63" s="166"/>
      <c r="Z63" s="167"/>
      <c r="AA63" s="168"/>
      <c r="AB63" s="711">
        <f>SUM(AB61:AC61)</f>
        <v>0</v>
      </c>
      <c r="AC63" s="711"/>
      <c r="AD63" s="169" t="s">
        <v>57</v>
      </c>
      <c r="AE63" s="25"/>
      <c r="AF63" s="25"/>
      <c r="AG63" s="25"/>
      <c r="AH63" s="712">
        <f>SUM(AH60:AK61)</f>
        <v>0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163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53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192</v>
      </c>
      <c r="AQ64" s="614"/>
      <c r="AR64" s="625">
        <f>AN64*X66/1000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161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193</v>
      </c>
      <c r="W65" s="173">
        <f>W54</f>
        <v>14.55</v>
      </c>
      <c r="X65" s="174" t="s">
        <v>165</v>
      </c>
      <c r="Y65" s="155" t="s">
        <v>194</v>
      </c>
      <c r="Z65" s="719">
        <f>IF('様式11-5'!U$1="LPG",0,P$22)</f>
        <v>0</v>
      </c>
      <c r="AA65" s="719"/>
      <c r="AB65" s="23" t="s">
        <v>195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7"/>
      <c r="S66" s="27"/>
      <c r="T66" s="25"/>
      <c r="U66" s="25"/>
      <c r="V66" s="25"/>
      <c r="W66" s="165"/>
      <c r="X66" s="166"/>
      <c r="Y66" s="166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196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53" t="s">
        <v>51</v>
      </c>
      <c r="AD67" s="28"/>
      <c r="AE67" s="28"/>
      <c r="AF67" s="28"/>
      <c r="AG67" s="28"/>
      <c r="AH67" s="640">
        <f>IF(AH55+AH56=0,0,R67*AB67)</f>
        <v>0</v>
      </c>
      <c r="AI67" s="641"/>
      <c r="AJ67" s="641"/>
      <c r="AK67" s="642"/>
      <c r="AL67" s="617" t="s">
        <v>196</v>
      </c>
      <c r="AM67" s="618"/>
      <c r="AN67" s="594">
        <f>AN34</f>
        <v>6</v>
      </c>
      <c r="AO67" s="595"/>
      <c r="AP67" s="613" t="s">
        <v>192</v>
      </c>
      <c r="AQ67" s="614"/>
      <c r="AR67" s="625">
        <f>AN67*X69/1000</f>
        <v>0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0</v>
      </c>
      <c r="Y68" s="644"/>
      <c r="Z68" s="23" t="s">
        <v>195</v>
      </c>
      <c r="AA68" s="23"/>
      <c r="AB68" s="23"/>
      <c r="AC68" s="24"/>
      <c r="AD68" s="23"/>
      <c r="AE68" s="23"/>
      <c r="AF68" s="23"/>
      <c r="AG68" s="23"/>
      <c r="AH68" s="558">
        <f>R68*X68</f>
        <v>0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7"/>
      <c r="S69" s="27"/>
      <c r="T69" s="25"/>
      <c r="U69" s="25"/>
      <c r="V69" s="25"/>
      <c r="W69" s="165"/>
      <c r="X69" s="716">
        <f>SUM(X68:Y68)</f>
        <v>0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0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0</v>
      </c>
      <c r="S71" s="548"/>
      <c r="T71" s="28" t="s">
        <v>71</v>
      </c>
      <c r="U71" s="28"/>
      <c r="V71" s="28"/>
      <c r="W71" s="549">
        <f>$W$27</f>
        <v>0</v>
      </c>
      <c r="X71" s="549"/>
      <c r="Y71" s="28" t="s">
        <v>155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0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156</v>
      </c>
      <c r="AQ71" s="662"/>
      <c r="AR71" s="663">
        <f>AN71*AB74/1000</f>
        <v>0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198</v>
      </c>
      <c r="S72" s="33">
        <f>IF(P72="夏季",料金単価!$D$3,料金単価!$E$3)</f>
        <v>12.63</v>
      </c>
      <c r="T72" s="148" t="s">
        <v>199</v>
      </c>
      <c r="U72" s="149">
        <f>$U$28</f>
        <v>7.29</v>
      </c>
      <c r="V72" s="148" t="s">
        <v>184</v>
      </c>
      <c r="W72" s="150">
        <f>$W$28</f>
        <v>3.45</v>
      </c>
      <c r="X72" s="151" t="s">
        <v>172</v>
      </c>
      <c r="Y72" s="24" t="s">
        <v>61</v>
      </c>
      <c r="Z72" s="151"/>
      <c r="AA72" s="32"/>
      <c r="AB72" s="702">
        <f>R$17+R$19+R$21</f>
        <v>0</v>
      </c>
      <c r="AC72" s="702"/>
      <c r="AD72" s="24" t="s">
        <v>200</v>
      </c>
      <c r="AE72" s="24"/>
      <c r="AF72" s="24"/>
      <c r="AG72" s="152"/>
      <c r="AH72" s="648">
        <f>(S72+U72+W72)*AB72</f>
        <v>0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153"/>
      <c r="J73" s="154"/>
      <c r="K73" s="154"/>
      <c r="L73" s="155"/>
      <c r="M73" s="155"/>
      <c r="N73" s="155"/>
      <c r="O73" s="155"/>
      <c r="P73" s="155"/>
      <c r="Q73" s="1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162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7"/>
      <c r="S74" s="27"/>
      <c r="T74" s="25"/>
      <c r="U74" s="25"/>
      <c r="V74" s="25"/>
      <c r="W74" s="165"/>
      <c r="X74" s="166"/>
      <c r="Y74" s="166"/>
      <c r="Z74" s="167"/>
      <c r="AA74" s="168"/>
      <c r="AB74" s="711">
        <f>SUM(AB72:AC72)</f>
        <v>0</v>
      </c>
      <c r="AC74" s="711"/>
      <c r="AD74" s="169" t="s">
        <v>57</v>
      </c>
      <c r="AE74" s="25"/>
      <c r="AF74" s="25"/>
      <c r="AG74" s="25"/>
      <c r="AH74" s="712">
        <f>SUM(AH71:AK72)</f>
        <v>0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161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53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192</v>
      </c>
      <c r="AQ75" s="614"/>
      <c r="AR75" s="625">
        <f>AN75*X77/1000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161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193</v>
      </c>
      <c r="W76" s="173">
        <f>W65</f>
        <v>14.55</v>
      </c>
      <c r="X76" s="174" t="s">
        <v>165</v>
      </c>
      <c r="Y76" s="155" t="s">
        <v>201</v>
      </c>
      <c r="Z76" s="665">
        <f>IF('様式11-5'!U$1="LPG",0,R$22)</f>
        <v>0</v>
      </c>
      <c r="AA76" s="665"/>
      <c r="AB76" s="23" t="s">
        <v>195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7"/>
      <c r="S77" s="27"/>
      <c r="T77" s="25"/>
      <c r="U77" s="25"/>
      <c r="V77" s="25"/>
      <c r="W77" s="165"/>
      <c r="X77" s="166"/>
      <c r="Y77" s="166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168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53" t="s">
        <v>51</v>
      </c>
      <c r="AD78" s="28"/>
      <c r="AE78" s="28"/>
      <c r="AF78" s="28"/>
      <c r="AG78" s="28"/>
      <c r="AH78" s="640">
        <f>IF(AH66+AH67=0,0,R78*AB78)</f>
        <v>0</v>
      </c>
      <c r="AI78" s="641"/>
      <c r="AJ78" s="641"/>
      <c r="AK78" s="642"/>
      <c r="AL78" s="617" t="s">
        <v>196</v>
      </c>
      <c r="AM78" s="618"/>
      <c r="AN78" s="594">
        <f>AN45</f>
        <v>6</v>
      </c>
      <c r="AO78" s="595"/>
      <c r="AP78" s="613" t="s">
        <v>192</v>
      </c>
      <c r="AQ78" s="614"/>
      <c r="AR78" s="625">
        <f>AN78*X80/1000</f>
        <v>0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0</v>
      </c>
      <c r="Y79" s="644"/>
      <c r="Z79" s="23" t="s">
        <v>195</v>
      </c>
      <c r="AA79" s="23"/>
      <c r="AB79" s="23"/>
      <c r="AC79" s="24"/>
      <c r="AD79" s="23"/>
      <c r="AE79" s="23"/>
      <c r="AF79" s="23"/>
      <c r="AG79" s="23"/>
      <c r="AH79" s="558">
        <f>R79*X79</f>
        <v>0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7"/>
      <c r="S80" s="27"/>
      <c r="T80" s="25"/>
      <c r="U80" s="25"/>
      <c r="V80" s="25"/>
      <c r="W80" s="165"/>
      <c r="X80" s="716">
        <f>SUM(X79:Y79)</f>
        <v>0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0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0</v>
      </c>
      <c r="S82" s="548"/>
      <c r="T82" s="28" t="s">
        <v>71</v>
      </c>
      <c r="U82" s="28"/>
      <c r="V82" s="28"/>
      <c r="W82" s="549">
        <f>$W$27</f>
        <v>0</v>
      </c>
      <c r="X82" s="549"/>
      <c r="Y82" s="28" t="s">
        <v>180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0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202</v>
      </c>
      <c r="AQ82" s="662"/>
      <c r="AR82" s="663">
        <f>AN82*AB85/1000</f>
        <v>0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204</v>
      </c>
      <c r="Q83" s="646"/>
      <c r="R83" s="34" t="s">
        <v>182</v>
      </c>
      <c r="S83" s="33">
        <f>IF(P83="夏季",料金単価!$D$3,料金単価!$E$3)</f>
        <v>12.63</v>
      </c>
      <c r="T83" s="148" t="s">
        <v>199</v>
      </c>
      <c r="U83" s="149">
        <f>$U$28</f>
        <v>7.29</v>
      </c>
      <c r="V83" s="148" t="s">
        <v>183</v>
      </c>
      <c r="W83" s="150">
        <f>$W$28</f>
        <v>3.45</v>
      </c>
      <c r="X83" s="151" t="s">
        <v>172</v>
      </c>
      <c r="Y83" s="24" t="s">
        <v>61</v>
      </c>
      <c r="Z83" s="151"/>
      <c r="AA83" s="32"/>
      <c r="AB83" s="702">
        <f>T$17+T$19+T$21</f>
        <v>0</v>
      </c>
      <c r="AC83" s="702"/>
      <c r="AD83" s="24" t="s">
        <v>200</v>
      </c>
      <c r="AE83" s="24"/>
      <c r="AF83" s="24"/>
      <c r="AG83" s="152"/>
      <c r="AH83" s="648">
        <f>(S83+U83+W83)*AB83</f>
        <v>0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153"/>
      <c r="J84" s="154"/>
      <c r="K84" s="154"/>
      <c r="L84" s="155"/>
      <c r="M84" s="155"/>
      <c r="N84" s="155"/>
      <c r="O84" s="155"/>
      <c r="P84" s="155"/>
      <c r="Q84" s="1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162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7"/>
      <c r="S85" s="27"/>
      <c r="T85" s="25"/>
      <c r="U85" s="25"/>
      <c r="V85" s="25"/>
      <c r="W85" s="165"/>
      <c r="X85" s="166"/>
      <c r="Y85" s="166"/>
      <c r="Z85" s="167"/>
      <c r="AA85" s="168"/>
      <c r="AB85" s="711">
        <f>SUM(AB83:AC83)</f>
        <v>0</v>
      </c>
      <c r="AC85" s="711"/>
      <c r="AD85" s="169" t="s">
        <v>57</v>
      </c>
      <c r="AE85" s="25"/>
      <c r="AF85" s="25"/>
      <c r="AG85" s="25"/>
      <c r="AH85" s="712">
        <f>SUM(AH82:AK83)</f>
        <v>0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163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53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169</v>
      </c>
      <c r="AQ86" s="614"/>
      <c r="AR86" s="625">
        <f>AN86*X88/1000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161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193</v>
      </c>
      <c r="W87" s="173">
        <f>W76</f>
        <v>14.55</v>
      </c>
      <c r="X87" s="174" t="s">
        <v>165</v>
      </c>
      <c r="Y87" s="155" t="s">
        <v>194</v>
      </c>
      <c r="Z87" s="665">
        <f>IF('様式11-5'!U$1="LPG",0,T$22)</f>
        <v>0</v>
      </c>
      <c r="AA87" s="665"/>
      <c r="AB87" s="23" t="s">
        <v>195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7"/>
      <c r="S88" s="27"/>
      <c r="T88" s="25"/>
      <c r="U88" s="25"/>
      <c r="V88" s="25"/>
      <c r="W88" s="165"/>
      <c r="X88" s="166"/>
      <c r="Y88" s="166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196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53" t="s">
        <v>51</v>
      </c>
      <c r="AD89" s="28"/>
      <c r="AE89" s="28"/>
      <c r="AF89" s="28"/>
      <c r="AG89" s="28"/>
      <c r="AH89" s="640">
        <f>IF(AH77+AH78=0,0,R89*AB89)</f>
        <v>0</v>
      </c>
      <c r="AI89" s="641"/>
      <c r="AJ89" s="641"/>
      <c r="AK89" s="642"/>
      <c r="AL89" s="617" t="s">
        <v>196</v>
      </c>
      <c r="AM89" s="618"/>
      <c r="AN89" s="594">
        <f>AN56</f>
        <v>6</v>
      </c>
      <c r="AO89" s="595"/>
      <c r="AP89" s="613" t="s">
        <v>192</v>
      </c>
      <c r="AQ89" s="614"/>
      <c r="AR89" s="625">
        <f>AN89*X91/1000</f>
        <v>0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0</v>
      </c>
      <c r="Y90" s="644"/>
      <c r="Z90" s="23" t="s">
        <v>195</v>
      </c>
      <c r="AA90" s="23"/>
      <c r="AB90" s="23"/>
      <c r="AC90" s="24"/>
      <c r="AD90" s="23"/>
      <c r="AE90" s="23"/>
      <c r="AF90" s="23"/>
      <c r="AG90" s="23"/>
      <c r="AH90" s="558">
        <f>R90*X90</f>
        <v>0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7"/>
      <c r="S91" s="27"/>
      <c r="T91" s="25"/>
      <c r="U91" s="25"/>
      <c r="V91" s="25"/>
      <c r="W91" s="165"/>
      <c r="X91" s="716">
        <f>SUM(X90:Y90)</f>
        <v>0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0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0</v>
      </c>
      <c r="S93" s="548"/>
      <c r="T93" s="28" t="s">
        <v>71</v>
      </c>
      <c r="U93" s="28"/>
      <c r="V93" s="28"/>
      <c r="W93" s="549">
        <f>$W$27</f>
        <v>0</v>
      </c>
      <c r="X93" s="549"/>
      <c r="Y93" s="28" t="s">
        <v>171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0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181</v>
      </c>
      <c r="AQ93" s="662"/>
      <c r="AR93" s="663">
        <f>AN93*AB96/1000</f>
        <v>0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205</v>
      </c>
      <c r="M94" s="618"/>
      <c r="N94" s="618"/>
      <c r="O94" s="678"/>
      <c r="P94" s="643" t="s">
        <v>197</v>
      </c>
      <c r="Q94" s="646"/>
      <c r="R94" s="34" t="s">
        <v>182</v>
      </c>
      <c r="S94" s="33">
        <f>IF(P94="夏季",料金単価!$D$3,料金単価!$E$3)</f>
        <v>12.63</v>
      </c>
      <c r="T94" s="148" t="s">
        <v>199</v>
      </c>
      <c r="U94" s="149">
        <f>$U$28</f>
        <v>7.29</v>
      </c>
      <c r="V94" s="148" t="s">
        <v>183</v>
      </c>
      <c r="W94" s="150">
        <f>$W$28</f>
        <v>3.45</v>
      </c>
      <c r="X94" s="151" t="s">
        <v>190</v>
      </c>
      <c r="Y94" s="24" t="s">
        <v>61</v>
      </c>
      <c r="Z94" s="151"/>
      <c r="AA94" s="32"/>
      <c r="AB94" s="702">
        <f>V$17+V$19+V$21</f>
        <v>0</v>
      </c>
      <c r="AC94" s="702"/>
      <c r="AD94" s="24" t="s">
        <v>191</v>
      </c>
      <c r="AE94" s="24"/>
      <c r="AF94" s="24"/>
      <c r="AG94" s="152"/>
      <c r="AH94" s="648">
        <f>(S94+U94+W94)*AB94</f>
        <v>0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153"/>
      <c r="J95" s="154"/>
      <c r="K95" s="154"/>
      <c r="L95" s="155"/>
      <c r="M95" s="155"/>
      <c r="N95" s="155"/>
      <c r="O95" s="155"/>
      <c r="P95" s="155"/>
      <c r="Q95" s="1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162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7"/>
      <c r="S96" s="27"/>
      <c r="T96" s="25"/>
      <c r="U96" s="25"/>
      <c r="V96" s="25"/>
      <c r="W96" s="165"/>
      <c r="X96" s="166"/>
      <c r="Y96" s="166"/>
      <c r="Z96" s="167"/>
      <c r="AA96" s="168"/>
      <c r="AB96" s="711">
        <f>SUM(AB94:AC94)</f>
        <v>0</v>
      </c>
      <c r="AC96" s="711"/>
      <c r="AD96" s="169" t="s">
        <v>57</v>
      </c>
      <c r="AE96" s="25"/>
      <c r="AF96" s="25"/>
      <c r="AG96" s="25"/>
      <c r="AH96" s="712">
        <f>SUM(AH93:AK94)</f>
        <v>0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163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53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189</v>
      </c>
      <c r="AQ97" s="662"/>
      <c r="AR97" s="663">
        <f>AN97*X99/1000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206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173</v>
      </c>
      <c r="W98" s="173">
        <f>W87</f>
        <v>14.55</v>
      </c>
      <c r="X98" s="174" t="s">
        <v>207</v>
      </c>
      <c r="Y98" s="155" t="s">
        <v>208</v>
      </c>
      <c r="Z98" s="665">
        <f>IF('様式11-5'!U$1="LPG",0,V$23)</f>
        <v>0</v>
      </c>
      <c r="AA98" s="665"/>
      <c r="AB98" s="23" t="s">
        <v>209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7"/>
      <c r="S99" s="27"/>
      <c r="T99" s="25"/>
      <c r="U99" s="25"/>
      <c r="V99" s="25"/>
      <c r="W99" s="165"/>
      <c r="X99" s="166"/>
      <c r="Y99" s="166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168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53" t="s">
        <v>51</v>
      </c>
      <c r="AD100" s="28"/>
      <c r="AE100" s="28"/>
      <c r="AF100" s="28"/>
      <c r="AG100" s="28"/>
      <c r="AH100" s="640">
        <f>IF(AH88+AH89=0,0,R100*AB100)</f>
        <v>0</v>
      </c>
      <c r="AI100" s="641"/>
      <c r="AJ100" s="641"/>
      <c r="AK100" s="642"/>
      <c r="AL100" s="617" t="s">
        <v>168</v>
      </c>
      <c r="AM100" s="618"/>
      <c r="AN100" s="594">
        <f>AN34</f>
        <v>6</v>
      </c>
      <c r="AO100" s="595"/>
      <c r="AP100" s="613" t="s">
        <v>169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209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7"/>
      <c r="S102" s="27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0</v>
      </c>
      <c r="S104" s="548"/>
      <c r="T104" s="28" t="s">
        <v>71</v>
      </c>
      <c r="U104" s="28"/>
      <c r="V104" s="28"/>
      <c r="W104" s="549">
        <f>$W$27</f>
        <v>0</v>
      </c>
      <c r="X104" s="549"/>
      <c r="Y104" s="28" t="s">
        <v>155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0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202</v>
      </c>
      <c r="AQ104" s="662"/>
      <c r="AR104" s="663">
        <f>AN104*AB107/1000</f>
        <v>0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205</v>
      </c>
      <c r="M105" s="618"/>
      <c r="N105" s="618"/>
      <c r="O105" s="678"/>
      <c r="P105" s="643" t="s">
        <v>204</v>
      </c>
      <c r="Q105" s="646"/>
      <c r="R105" s="34" t="s">
        <v>198</v>
      </c>
      <c r="S105" s="33">
        <f>IF(P105="夏季",料金単価!$D$3,料金単価!$E$3)</f>
        <v>12.63</v>
      </c>
      <c r="T105" s="148" t="s">
        <v>199</v>
      </c>
      <c r="U105" s="149">
        <f>$U$28</f>
        <v>7.29</v>
      </c>
      <c r="V105" s="148" t="s">
        <v>199</v>
      </c>
      <c r="W105" s="150">
        <f>$W$28</f>
        <v>3.45</v>
      </c>
      <c r="X105" s="151" t="s">
        <v>172</v>
      </c>
      <c r="Y105" s="24" t="s">
        <v>61</v>
      </c>
      <c r="Z105" s="151"/>
      <c r="AA105" s="32"/>
      <c r="AB105" s="702">
        <f>X$17+X$19+X$21</f>
        <v>0</v>
      </c>
      <c r="AC105" s="702"/>
      <c r="AD105" s="24" t="s">
        <v>200</v>
      </c>
      <c r="AE105" s="24"/>
      <c r="AF105" s="24"/>
      <c r="AG105" s="152"/>
      <c r="AH105" s="648">
        <f>(S105+U105+W105)*AB105</f>
        <v>0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153"/>
      <c r="J106" s="154"/>
      <c r="K106" s="154"/>
      <c r="L106" s="155"/>
      <c r="M106" s="155"/>
      <c r="N106" s="155"/>
      <c r="O106" s="155"/>
      <c r="P106" s="155"/>
      <c r="Q106" s="1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162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7"/>
      <c r="S107" s="27"/>
      <c r="T107" s="25"/>
      <c r="U107" s="25"/>
      <c r="V107" s="25"/>
      <c r="W107" s="165"/>
      <c r="X107" s="166"/>
      <c r="Y107" s="166"/>
      <c r="Z107" s="167"/>
      <c r="AA107" s="168"/>
      <c r="AB107" s="711">
        <f>SUM(AB105:AC105)</f>
        <v>0</v>
      </c>
      <c r="AC107" s="711"/>
      <c r="AD107" s="169" t="s">
        <v>57</v>
      </c>
      <c r="AE107" s="25"/>
      <c r="AF107" s="25"/>
      <c r="AG107" s="25"/>
      <c r="AH107" s="712">
        <f>SUM(AH104:AK105)</f>
        <v>0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161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53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192</v>
      </c>
      <c r="AQ108" s="662"/>
      <c r="AR108" s="663">
        <f>AN108*X110/1000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161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193</v>
      </c>
      <c r="W109" s="173">
        <f>W98</f>
        <v>14.55</v>
      </c>
      <c r="X109" s="174" t="s">
        <v>165</v>
      </c>
      <c r="Y109" s="155" t="s">
        <v>194</v>
      </c>
      <c r="Z109" s="665">
        <f>IF('様式11-5'!U$1="LPG",0,X$23)</f>
        <v>0</v>
      </c>
      <c r="AA109" s="665"/>
      <c r="AB109" s="23" t="s">
        <v>195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7"/>
      <c r="S110" s="27"/>
      <c r="T110" s="25"/>
      <c r="U110" s="25"/>
      <c r="V110" s="25"/>
      <c r="W110" s="165"/>
      <c r="X110" s="166"/>
      <c r="Y110" s="166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196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53" t="s">
        <v>51</v>
      </c>
      <c r="AD111" s="28"/>
      <c r="AE111" s="28"/>
      <c r="AF111" s="28"/>
      <c r="AG111" s="28"/>
      <c r="AH111" s="640">
        <f>IF(AH99+AH100=0,0,R111*AB111)</f>
        <v>0</v>
      </c>
      <c r="AI111" s="641"/>
      <c r="AJ111" s="641"/>
      <c r="AK111" s="642"/>
      <c r="AL111" s="617" t="s">
        <v>188</v>
      </c>
      <c r="AM111" s="618"/>
      <c r="AN111" s="594">
        <f>AN34</f>
        <v>6</v>
      </c>
      <c r="AO111" s="595"/>
      <c r="AP111" s="613" t="s">
        <v>192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195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7"/>
      <c r="S113" s="27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0</v>
      </c>
      <c r="S115" s="548"/>
      <c r="T115" s="28" t="s">
        <v>71</v>
      </c>
      <c r="U115" s="28"/>
      <c r="V115" s="28"/>
      <c r="W115" s="549">
        <f>$W$27</f>
        <v>0</v>
      </c>
      <c r="X115" s="549"/>
      <c r="Y115" s="28" t="s">
        <v>155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0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181</v>
      </c>
      <c r="AQ115" s="662"/>
      <c r="AR115" s="663">
        <f>AN115*AB118/1000</f>
        <v>0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210</v>
      </c>
      <c r="Q116" s="646"/>
      <c r="R116" s="34" t="s">
        <v>198</v>
      </c>
      <c r="S116" s="33">
        <f>IF(P116="夏季",料金単価!$D$3,料金単価!$E$3)</f>
        <v>12.63</v>
      </c>
      <c r="T116" s="148" t="s">
        <v>199</v>
      </c>
      <c r="U116" s="149">
        <f>$U$28</f>
        <v>7.29</v>
      </c>
      <c r="V116" s="148" t="s">
        <v>183</v>
      </c>
      <c r="W116" s="150">
        <f>$W$28</f>
        <v>3.45</v>
      </c>
      <c r="X116" s="151" t="s">
        <v>172</v>
      </c>
      <c r="Y116" s="24" t="s">
        <v>61</v>
      </c>
      <c r="Z116" s="151"/>
      <c r="AA116" s="32"/>
      <c r="AB116" s="702">
        <f>Z$17+Z$19+Z21</f>
        <v>0</v>
      </c>
      <c r="AC116" s="702"/>
      <c r="AD116" s="24" t="s">
        <v>211</v>
      </c>
      <c r="AE116" s="24"/>
      <c r="AF116" s="24"/>
      <c r="AG116" s="152"/>
      <c r="AH116" s="648">
        <f>(S116+U116+W116)*AB116</f>
        <v>0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153"/>
      <c r="J117" s="154"/>
      <c r="K117" s="154"/>
      <c r="L117" s="155"/>
      <c r="M117" s="155"/>
      <c r="N117" s="155"/>
      <c r="O117" s="155"/>
      <c r="P117" s="155"/>
      <c r="Q117" s="1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162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7"/>
      <c r="S118" s="27"/>
      <c r="T118" s="25"/>
      <c r="U118" s="25"/>
      <c r="V118" s="25"/>
      <c r="W118" s="165"/>
      <c r="X118" s="166"/>
      <c r="Y118" s="166"/>
      <c r="Z118" s="167"/>
      <c r="AA118" s="168"/>
      <c r="AB118" s="711">
        <f>SUM(AB116:AC116)</f>
        <v>0</v>
      </c>
      <c r="AC118" s="711"/>
      <c r="AD118" s="169" t="s">
        <v>57</v>
      </c>
      <c r="AE118" s="25"/>
      <c r="AF118" s="25"/>
      <c r="AG118" s="25"/>
      <c r="AH118" s="712">
        <f>SUM(AH115:AK116)</f>
        <v>0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163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53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192</v>
      </c>
      <c r="AQ119" s="662"/>
      <c r="AR119" s="663">
        <f>AN119*X121/1000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161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164</v>
      </c>
      <c r="W120" s="173">
        <f>W109</f>
        <v>14.55</v>
      </c>
      <c r="X120" s="174" t="s">
        <v>165</v>
      </c>
      <c r="Y120" s="155" t="s">
        <v>208</v>
      </c>
      <c r="Z120" s="665">
        <f>IF('様式11-5'!U$1="LPG",0,Z$23)</f>
        <v>0</v>
      </c>
      <c r="AA120" s="665"/>
      <c r="AB120" s="23" t="s">
        <v>195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7"/>
      <c r="S121" s="27"/>
      <c r="T121" s="25"/>
      <c r="U121" s="25"/>
      <c r="V121" s="25"/>
      <c r="W121" s="165"/>
      <c r="X121" s="166"/>
      <c r="Y121" s="166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188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53" t="s">
        <v>51</v>
      </c>
      <c r="AD122" s="28"/>
      <c r="AE122" s="28"/>
      <c r="AF122" s="28"/>
      <c r="AG122" s="28"/>
      <c r="AH122" s="640">
        <f>IF(AH110+AH111=0,0,R122*AB122)</f>
        <v>0</v>
      </c>
      <c r="AI122" s="641"/>
      <c r="AJ122" s="641"/>
      <c r="AK122" s="642"/>
      <c r="AL122" s="617" t="s">
        <v>177</v>
      </c>
      <c r="AM122" s="618"/>
      <c r="AN122" s="594">
        <f>AN34</f>
        <v>6</v>
      </c>
      <c r="AO122" s="595"/>
      <c r="AP122" s="613" t="s">
        <v>192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195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7"/>
      <c r="S124" s="27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0</v>
      </c>
      <c r="S126" s="548"/>
      <c r="T126" s="28" t="s">
        <v>71</v>
      </c>
      <c r="U126" s="28"/>
      <c r="V126" s="28"/>
      <c r="W126" s="549">
        <f>$W$27</f>
        <v>0</v>
      </c>
      <c r="X126" s="549"/>
      <c r="Y126" s="28" t="s">
        <v>171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0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181</v>
      </c>
      <c r="AQ126" s="662"/>
      <c r="AR126" s="663">
        <f>AN126*AB129/1000</f>
        <v>0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212</v>
      </c>
      <c r="M127" s="618"/>
      <c r="N127" s="618"/>
      <c r="O127" s="678"/>
      <c r="P127" s="643" t="s">
        <v>213</v>
      </c>
      <c r="Q127" s="646"/>
      <c r="R127" s="34" t="s">
        <v>198</v>
      </c>
      <c r="S127" s="33">
        <f>IF(P127="夏季",料金単価!$D$3,料金単価!$E$3)</f>
        <v>12.63</v>
      </c>
      <c r="T127" s="148" t="s">
        <v>183</v>
      </c>
      <c r="U127" s="149">
        <f>$U$28</f>
        <v>7.29</v>
      </c>
      <c r="V127" s="148" t="s">
        <v>184</v>
      </c>
      <c r="W127" s="150">
        <f>$W$28</f>
        <v>3.45</v>
      </c>
      <c r="X127" s="151" t="s">
        <v>214</v>
      </c>
      <c r="Y127" s="24" t="s">
        <v>61</v>
      </c>
      <c r="Z127" s="151"/>
      <c r="AA127" s="32"/>
      <c r="AB127" s="702">
        <f>AB$17+AB$19+AB21</f>
        <v>0</v>
      </c>
      <c r="AC127" s="702"/>
      <c r="AD127" s="24" t="s">
        <v>185</v>
      </c>
      <c r="AE127" s="24"/>
      <c r="AF127" s="24"/>
      <c r="AG127" s="152"/>
      <c r="AH127" s="648">
        <f>(S127+U127+W127)*AB127</f>
        <v>0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153"/>
      <c r="J128" s="154"/>
      <c r="K128" s="154"/>
      <c r="L128" s="155"/>
      <c r="M128" s="155"/>
      <c r="N128" s="155"/>
      <c r="O128" s="155"/>
      <c r="P128" s="155"/>
      <c r="Q128" s="1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162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7"/>
      <c r="S129" s="27"/>
      <c r="T129" s="25"/>
      <c r="U129" s="25"/>
      <c r="V129" s="25"/>
      <c r="W129" s="165"/>
      <c r="X129" s="166"/>
      <c r="Y129" s="166"/>
      <c r="Z129" s="167"/>
      <c r="AA129" s="168"/>
      <c r="AB129" s="711">
        <f>SUM(AB127:AC127)</f>
        <v>0</v>
      </c>
      <c r="AC129" s="711"/>
      <c r="AD129" s="169" t="s">
        <v>57</v>
      </c>
      <c r="AE129" s="25"/>
      <c r="AF129" s="25"/>
      <c r="AG129" s="25"/>
      <c r="AH129" s="712">
        <f>SUM(AH126:AK127)</f>
        <v>0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206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53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189</v>
      </c>
      <c r="AQ130" s="662"/>
      <c r="AR130" s="663">
        <f>AN130*X132/1000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163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173</v>
      </c>
      <c r="W131" s="173">
        <f>W120</f>
        <v>14.55</v>
      </c>
      <c r="X131" s="174" t="s">
        <v>207</v>
      </c>
      <c r="Y131" s="155" t="s">
        <v>201</v>
      </c>
      <c r="Z131" s="665">
        <f>IF('様式11-5'!U$1="LPG",0,AB$23)</f>
        <v>0</v>
      </c>
      <c r="AA131" s="665"/>
      <c r="AB131" s="23" t="s">
        <v>170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7"/>
      <c r="S132" s="27"/>
      <c r="T132" s="25"/>
      <c r="U132" s="25"/>
      <c r="V132" s="25"/>
      <c r="W132" s="165"/>
      <c r="X132" s="166"/>
      <c r="Y132" s="166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177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53" t="s">
        <v>51</v>
      </c>
      <c r="AD133" s="28"/>
      <c r="AE133" s="28"/>
      <c r="AF133" s="28"/>
      <c r="AG133" s="28"/>
      <c r="AH133" s="640">
        <f>IF(AH121+AH122=0,0,R133*AB133)</f>
        <v>0</v>
      </c>
      <c r="AI133" s="641"/>
      <c r="AJ133" s="641"/>
      <c r="AK133" s="642"/>
      <c r="AL133" s="617" t="s">
        <v>188</v>
      </c>
      <c r="AM133" s="618"/>
      <c r="AN133" s="594">
        <f>AN34</f>
        <v>6</v>
      </c>
      <c r="AO133" s="595"/>
      <c r="AP133" s="613" t="s">
        <v>162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195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7"/>
      <c r="S135" s="27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0</v>
      </c>
      <c r="S137" s="548"/>
      <c r="T137" s="28" t="s">
        <v>71</v>
      </c>
      <c r="U137" s="28"/>
      <c r="V137" s="28"/>
      <c r="W137" s="549">
        <f>$W$27</f>
        <v>0</v>
      </c>
      <c r="X137" s="549"/>
      <c r="Y137" s="28" t="s">
        <v>180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0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181</v>
      </c>
      <c r="AQ137" s="662"/>
      <c r="AR137" s="663">
        <f>AN137*AB140/1000</f>
        <v>0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212</v>
      </c>
      <c r="M138" s="618"/>
      <c r="N138" s="618"/>
      <c r="O138" s="678"/>
      <c r="P138" s="643" t="s">
        <v>210</v>
      </c>
      <c r="Q138" s="646"/>
      <c r="R138" s="34" t="s">
        <v>215</v>
      </c>
      <c r="S138" s="33">
        <f>IF(P138="夏季",料金単価!$D$3,料金単価!$E$3)</f>
        <v>12.63</v>
      </c>
      <c r="T138" s="148" t="s">
        <v>183</v>
      </c>
      <c r="U138" s="149">
        <f>$U$28</f>
        <v>7.29</v>
      </c>
      <c r="V138" s="148" t="s">
        <v>183</v>
      </c>
      <c r="W138" s="150">
        <f>$W$28</f>
        <v>3.45</v>
      </c>
      <c r="X138" s="151" t="s">
        <v>214</v>
      </c>
      <c r="Y138" s="24" t="s">
        <v>61</v>
      </c>
      <c r="Z138" s="151"/>
      <c r="AA138" s="32"/>
      <c r="AB138" s="702">
        <f>AD$17+AD$19+AD$21</f>
        <v>0</v>
      </c>
      <c r="AC138" s="702"/>
      <c r="AD138" s="24" t="s">
        <v>211</v>
      </c>
      <c r="AE138" s="24"/>
      <c r="AF138" s="24"/>
      <c r="AG138" s="152"/>
      <c r="AH138" s="648">
        <f>(S138+U138+W138)*AB138</f>
        <v>0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153"/>
      <c r="J139" s="154"/>
      <c r="K139" s="154"/>
      <c r="L139" s="155"/>
      <c r="M139" s="155"/>
      <c r="N139" s="155"/>
      <c r="O139" s="155"/>
      <c r="P139" s="155"/>
      <c r="Q139" s="1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162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7"/>
      <c r="S140" s="27"/>
      <c r="T140" s="25"/>
      <c r="U140" s="25"/>
      <c r="V140" s="25"/>
      <c r="W140" s="165"/>
      <c r="X140" s="166"/>
      <c r="Y140" s="166"/>
      <c r="Z140" s="167"/>
      <c r="AA140" s="168"/>
      <c r="AB140" s="711">
        <f>SUM(AB138:AC138)</f>
        <v>0</v>
      </c>
      <c r="AC140" s="711"/>
      <c r="AD140" s="169" t="s">
        <v>57</v>
      </c>
      <c r="AE140" s="25"/>
      <c r="AF140" s="25"/>
      <c r="AG140" s="25"/>
      <c r="AH140" s="712">
        <f>SUM(AH137:AK138)</f>
        <v>0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206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53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189</v>
      </c>
      <c r="AQ141" s="662"/>
      <c r="AR141" s="663">
        <f>AN141*X143/1000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186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216</v>
      </c>
      <c r="W142" s="173">
        <f>W131</f>
        <v>14.55</v>
      </c>
      <c r="X142" s="174" t="s">
        <v>165</v>
      </c>
      <c r="Y142" s="155" t="s">
        <v>194</v>
      </c>
      <c r="Z142" s="665">
        <f>IF('様式11-5'!U$1="LPG",0,AD$22)</f>
        <v>0</v>
      </c>
      <c r="AA142" s="665"/>
      <c r="AB142" s="23" t="s">
        <v>195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7"/>
      <c r="S143" s="27"/>
      <c r="T143" s="25"/>
      <c r="U143" s="25"/>
      <c r="V143" s="25"/>
      <c r="W143" s="165"/>
      <c r="X143" s="166"/>
      <c r="Y143" s="166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196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53" t="s">
        <v>51</v>
      </c>
      <c r="AD144" s="28"/>
      <c r="AE144" s="28"/>
      <c r="AF144" s="28"/>
      <c r="AG144" s="28"/>
      <c r="AH144" s="640">
        <f>IF(AH132+AH133=0,0,R144*AB144)</f>
        <v>0</v>
      </c>
      <c r="AI144" s="641"/>
      <c r="AJ144" s="641"/>
      <c r="AK144" s="642"/>
      <c r="AL144" s="617" t="s">
        <v>196</v>
      </c>
      <c r="AM144" s="618"/>
      <c r="AN144" s="594">
        <f>AN45</f>
        <v>6</v>
      </c>
      <c r="AO144" s="595"/>
      <c r="AP144" s="613" t="s">
        <v>192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195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7"/>
      <c r="S146" s="27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0</v>
      </c>
      <c r="S148" s="548"/>
      <c r="T148" s="28" t="s">
        <v>71</v>
      </c>
      <c r="U148" s="28"/>
      <c r="V148" s="28"/>
      <c r="W148" s="549">
        <f>$W$27</f>
        <v>0</v>
      </c>
      <c r="X148" s="549"/>
      <c r="Y148" s="28" t="s">
        <v>180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0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202</v>
      </c>
      <c r="AQ148" s="662"/>
      <c r="AR148" s="663">
        <f>AN148*AB151/1000</f>
        <v>0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204</v>
      </c>
      <c r="Q149" s="646"/>
      <c r="R149" s="34" t="s">
        <v>198</v>
      </c>
      <c r="S149" s="33">
        <f>IF(P149="夏季",料金単価!$D$3,料金単価!$E$3)</f>
        <v>12.63</v>
      </c>
      <c r="T149" s="148" t="s">
        <v>199</v>
      </c>
      <c r="U149" s="149">
        <f>$U$28</f>
        <v>7.29</v>
      </c>
      <c r="V149" s="148" t="s">
        <v>199</v>
      </c>
      <c r="W149" s="150">
        <f>$W$28</f>
        <v>3.45</v>
      </c>
      <c r="X149" s="151" t="s">
        <v>172</v>
      </c>
      <c r="Y149" s="24" t="s">
        <v>61</v>
      </c>
      <c r="Z149" s="151"/>
      <c r="AA149" s="32"/>
      <c r="AB149" s="702">
        <f>AF$17+AF$19+AF$21</f>
        <v>0</v>
      </c>
      <c r="AC149" s="702"/>
      <c r="AD149" s="24" t="s">
        <v>200</v>
      </c>
      <c r="AE149" s="24"/>
      <c r="AF149" s="24"/>
      <c r="AG149" s="152"/>
      <c r="AH149" s="648">
        <f>(S149+U149+W149)*AB149</f>
        <v>0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153"/>
      <c r="J150" s="154"/>
      <c r="K150" s="154"/>
      <c r="L150" s="155"/>
      <c r="M150" s="155"/>
      <c r="N150" s="155"/>
      <c r="O150" s="155"/>
      <c r="P150" s="155"/>
      <c r="Q150" s="1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162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7"/>
      <c r="S151" s="27"/>
      <c r="T151" s="25"/>
      <c r="U151" s="25"/>
      <c r="V151" s="25"/>
      <c r="W151" s="165"/>
      <c r="X151" s="166"/>
      <c r="Y151" s="166"/>
      <c r="Z151" s="167"/>
      <c r="AA151" s="168"/>
      <c r="AB151" s="711">
        <f>SUM(AB149:AC149)</f>
        <v>0</v>
      </c>
      <c r="AC151" s="711"/>
      <c r="AD151" s="169" t="s">
        <v>57</v>
      </c>
      <c r="AE151" s="25"/>
      <c r="AF151" s="25"/>
      <c r="AG151" s="25"/>
      <c r="AH151" s="712">
        <f>SUM(AH148:AK149)</f>
        <v>0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161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53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192</v>
      </c>
      <c r="AQ152" s="662"/>
      <c r="AR152" s="663">
        <f>AN152*X154/1000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161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216</v>
      </c>
      <c r="W153" s="173">
        <f>W142</f>
        <v>14.55</v>
      </c>
      <c r="X153" s="174" t="s">
        <v>165</v>
      </c>
      <c r="Y153" s="155" t="s">
        <v>194</v>
      </c>
      <c r="Z153" s="665">
        <f>IF('様式11-5'!U$1="LPG",0,AF$22)</f>
        <v>0</v>
      </c>
      <c r="AA153" s="665"/>
      <c r="AB153" s="23" t="s">
        <v>195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7"/>
      <c r="S154" s="27"/>
      <c r="T154" s="25"/>
      <c r="U154" s="25"/>
      <c r="V154" s="25"/>
      <c r="W154" s="165"/>
      <c r="X154" s="166"/>
      <c r="Y154" s="166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196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53" t="s">
        <v>51</v>
      </c>
      <c r="AD155" s="28"/>
      <c r="AE155" s="28"/>
      <c r="AF155" s="28"/>
      <c r="AG155" s="28"/>
      <c r="AH155" s="640">
        <f>IF(AH143+AH144=0,0,R155*AB155)</f>
        <v>0</v>
      </c>
      <c r="AI155" s="641"/>
      <c r="AJ155" s="641"/>
      <c r="AK155" s="642"/>
      <c r="AL155" s="617" t="s">
        <v>168</v>
      </c>
      <c r="AM155" s="618"/>
      <c r="AN155" s="594">
        <f>AN56</f>
        <v>6</v>
      </c>
      <c r="AO155" s="595"/>
      <c r="AP155" s="613" t="s">
        <v>192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195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7"/>
      <c r="S157" s="27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177"/>
      <c r="C158" s="177"/>
      <c r="D158" s="177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177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180"/>
      <c r="D159" s="18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18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0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202</v>
      </c>
      <c r="AQ161" s="662"/>
      <c r="AR161" s="663">
        <f>AN161*AB166/1000</f>
        <v>0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0</v>
      </c>
      <c r="AC162" s="557"/>
      <c r="AD162" s="24" t="s">
        <v>200</v>
      </c>
      <c r="AE162" s="24"/>
      <c r="AF162" s="24"/>
      <c r="AG162" s="152"/>
      <c r="AH162" s="648">
        <f>AH39+AH61+AH50</f>
        <v>0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0</v>
      </c>
      <c r="AC163" s="557"/>
      <c r="AD163" s="24" t="s">
        <v>160</v>
      </c>
      <c r="AE163" s="24"/>
      <c r="AF163" s="24"/>
      <c r="AG163" s="152"/>
      <c r="AH163" s="648">
        <f>AH28+AH72+AH149</f>
        <v>0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 t="s">
        <v>615</v>
      </c>
      <c r="AC164" s="647"/>
      <c r="AD164" s="30" t="s">
        <v>200</v>
      </c>
      <c r="AE164" s="30"/>
      <c r="AF164" s="30"/>
      <c r="AG164" s="162"/>
      <c r="AH164" s="648">
        <f>AH94+AH105+AH116+AH127+AH83+AH138</f>
        <v>0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153"/>
      <c r="J165" s="154"/>
      <c r="K165" s="154"/>
      <c r="L165" s="155"/>
      <c r="M165" s="155"/>
      <c r="N165" s="155"/>
      <c r="O165" s="155"/>
      <c r="P165" s="155"/>
      <c r="Q165" s="1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185"/>
      <c r="AC165" s="185"/>
      <c r="AD165" s="30"/>
      <c r="AE165" s="30"/>
      <c r="AF165" s="30"/>
      <c r="AG165" s="162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9"/>
      <c r="C166" s="620"/>
      <c r="D166" s="932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0</v>
      </c>
      <c r="AC166" s="701"/>
      <c r="AD166" s="344" t="s">
        <v>57</v>
      </c>
      <c r="AE166" s="337"/>
      <c r="AF166" s="337"/>
      <c r="AG166" s="337"/>
      <c r="AH166" s="652">
        <f>SUM(AH161:AK164)</f>
        <v>0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179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174"/>
      <c r="Y168" s="155"/>
      <c r="Z168" s="188"/>
      <c r="AA168" s="189"/>
      <c r="AB168" s="557">
        <f>Z32+Z43+Z65+Z54+Z76+Z87+Z142+Z153</f>
        <v>0</v>
      </c>
      <c r="AC168" s="557"/>
      <c r="AD168" s="23" t="s">
        <v>195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174"/>
      <c r="Y169" s="155"/>
      <c r="Z169" s="271"/>
      <c r="AA169" s="271"/>
      <c r="AB169" s="562">
        <f>Z98+Z109+Z120+Z131</f>
        <v>0</v>
      </c>
      <c r="AC169" s="562"/>
      <c r="AD169" s="23" t="s">
        <v>195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196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0</v>
      </c>
      <c r="AI171" s="641"/>
      <c r="AJ171" s="641"/>
      <c r="AK171" s="642"/>
      <c r="AL171" s="617" t="s">
        <v>177</v>
      </c>
      <c r="AM171" s="618"/>
      <c r="AN171" s="594">
        <f>AN34</f>
        <v>6</v>
      </c>
      <c r="AO171" s="595"/>
      <c r="AP171" s="613" t="s">
        <v>192</v>
      </c>
      <c r="AQ171" s="614"/>
      <c r="AR171" s="625">
        <f>AN171*AB173/1000</f>
        <v>0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0</v>
      </c>
      <c r="AC172" s="562"/>
      <c r="AD172" s="23" t="s">
        <v>170</v>
      </c>
      <c r="AE172" s="23"/>
      <c r="AF172" s="23"/>
      <c r="AG172" s="23"/>
      <c r="AH172" s="558">
        <f>AH35+AH46+AH68+AH101+AH112+AH123+AH134+AH57+AH79+AH90+AH145+AH156</f>
        <v>0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0</v>
      </c>
      <c r="AC173" s="667"/>
      <c r="AD173" s="347" t="s">
        <v>43</v>
      </c>
      <c r="AE173" s="347"/>
      <c r="AF173" s="347"/>
      <c r="AG173" s="347"/>
      <c r="AH173" s="671">
        <f>SUM(AH171:AK172)</f>
        <v>0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5"/>
      <c r="AE174" s="563" t="s">
        <v>218</v>
      </c>
      <c r="AF174" s="564"/>
      <c r="AG174" s="565"/>
      <c r="AH174" s="566">
        <f>+AH166+AH170+AH173</f>
        <v>0</v>
      </c>
      <c r="AI174" s="567"/>
      <c r="AJ174" s="567"/>
      <c r="AK174" s="568"/>
      <c r="AP174" s="563" t="s">
        <v>1</v>
      </c>
      <c r="AQ174" s="564"/>
      <c r="AR174" s="569">
        <f>SUM(AR161:AT173)</f>
        <v>0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19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25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0</v>
      </c>
      <c r="AO177" s="582"/>
      <c r="AP177" s="583" t="s">
        <v>220</v>
      </c>
      <c r="AQ177" s="584"/>
      <c r="AR177" s="585">
        <f>AN177*0.0258</f>
        <v>0</v>
      </c>
      <c r="AS177" s="585"/>
      <c r="AT177" s="585"/>
      <c r="AU177" s="586" t="s">
        <v>221</v>
      </c>
      <c r="AV177" s="587"/>
    </row>
    <row r="178" spans="2:48">
      <c r="B178" s="425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220</v>
      </c>
      <c r="AQ178" s="584"/>
      <c r="AR178" s="585">
        <f>AN178*0.0258</f>
        <v>0</v>
      </c>
      <c r="AS178" s="585"/>
      <c r="AT178" s="585"/>
      <c r="AU178" s="586" t="s">
        <v>221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223</v>
      </c>
      <c r="AM179" s="599"/>
      <c r="AN179" s="600">
        <f>AB173/92.9</f>
        <v>0</v>
      </c>
      <c r="AO179" s="601"/>
      <c r="AP179" s="602" t="s">
        <v>220</v>
      </c>
      <c r="AQ179" s="603"/>
      <c r="AR179" s="604">
        <f>AN179*0.0258</f>
        <v>0</v>
      </c>
      <c r="AS179" s="604"/>
      <c r="AT179" s="604"/>
      <c r="AU179" s="629" t="s">
        <v>224</v>
      </c>
      <c r="AV179" s="630"/>
    </row>
    <row r="180" spans="2:48" ht="14.25" thickBot="1">
      <c r="AP180" s="573" t="s">
        <v>1</v>
      </c>
      <c r="AQ180" s="574"/>
      <c r="AR180" s="575">
        <f>SUM(AR177:AT179)</f>
        <v>0</v>
      </c>
      <c r="AS180" s="576"/>
      <c r="AT180" s="576"/>
      <c r="AU180" s="577" t="s">
        <v>224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B161:D166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H19:I19"/>
    <mergeCell ref="J19:K19"/>
    <mergeCell ref="L19:M19"/>
    <mergeCell ref="N19:O19"/>
    <mergeCell ref="P19:Q19"/>
    <mergeCell ref="R19:S19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AL21:AV21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B138:AC138"/>
    <mergeCell ref="AH138:AK138"/>
    <mergeCell ref="AH139:AK139"/>
    <mergeCell ref="AN136:AQ136"/>
    <mergeCell ref="AR136:AV136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44:AQ146"/>
    <mergeCell ref="AR144:AT146"/>
    <mergeCell ref="AU144:AV146"/>
    <mergeCell ref="AL141:AM143"/>
    <mergeCell ref="R145:S145"/>
    <mergeCell ref="X145:Y145"/>
    <mergeCell ref="AH145:AK145"/>
    <mergeCell ref="E146:H146"/>
    <mergeCell ref="X146:Y146"/>
    <mergeCell ref="AH146:AK146"/>
    <mergeCell ref="C141:D146"/>
    <mergeCell ref="AN141:AO143"/>
    <mergeCell ref="AP141:AQ143"/>
    <mergeCell ref="AR141:AT143"/>
    <mergeCell ref="E151:H151"/>
    <mergeCell ref="AB151:AC151"/>
    <mergeCell ref="AH151:AK151"/>
    <mergeCell ref="AN147:AQ147"/>
    <mergeCell ref="AR147:AV147"/>
    <mergeCell ref="AP148:AQ151"/>
    <mergeCell ref="AR148:AT151"/>
    <mergeCell ref="AU148:AV151"/>
    <mergeCell ref="AU141:AV143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R144:S144"/>
    <mergeCell ref="Z154:AA154"/>
    <mergeCell ref="AH154:AK154"/>
    <mergeCell ref="X157:Y157"/>
    <mergeCell ref="AH157:AK157"/>
    <mergeCell ref="AH155:AK155"/>
    <mergeCell ref="AL161:AM166"/>
    <mergeCell ref="AN161:AO166"/>
    <mergeCell ref="AP161:AQ166"/>
    <mergeCell ref="B148:B157"/>
    <mergeCell ref="C148:D151"/>
    <mergeCell ref="E148:H150"/>
    <mergeCell ref="R148:S148"/>
    <mergeCell ref="W148:X148"/>
    <mergeCell ref="AH148:AK148"/>
    <mergeCell ref="AL148:AM151"/>
    <mergeCell ref="AN148:AO151"/>
    <mergeCell ref="B147:D147"/>
    <mergeCell ref="E147:H147"/>
    <mergeCell ref="I147:Q147"/>
    <mergeCell ref="R147:AG147"/>
    <mergeCell ref="AH147:AK147"/>
    <mergeCell ref="AL147:AM147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E157:H157"/>
    <mergeCell ref="B160:D160"/>
    <mergeCell ref="E160:H160"/>
    <mergeCell ref="AL167:AM170"/>
    <mergeCell ref="AN167:AO170"/>
    <mergeCell ref="AP167:AQ170"/>
    <mergeCell ref="AU155:AV157"/>
    <mergeCell ref="AL152:AM154"/>
    <mergeCell ref="AN152:AO154"/>
    <mergeCell ref="AP152:AQ154"/>
    <mergeCell ref="AR152:AT154"/>
    <mergeCell ref="AU152:AV154"/>
    <mergeCell ref="S153:T153"/>
    <mergeCell ref="Z153:AA153"/>
    <mergeCell ref="AH153:AK153"/>
    <mergeCell ref="X173:Y173"/>
    <mergeCell ref="AB173:AC173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H163:AK163"/>
    <mergeCell ref="AN160:AQ160"/>
    <mergeCell ref="AR160:AV160"/>
    <mergeCell ref="AR171:AT173"/>
    <mergeCell ref="AU171:AV173"/>
    <mergeCell ref="AR167:AT170"/>
    <mergeCell ref="AH161:AK161"/>
    <mergeCell ref="AN179:AO179"/>
    <mergeCell ref="AP179:AQ179"/>
    <mergeCell ref="AR179:AT179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U179:AV179"/>
    <mergeCell ref="AL171:AM173"/>
    <mergeCell ref="B167:D173"/>
    <mergeCell ref="E167:H169"/>
    <mergeCell ref="S167:T167"/>
    <mergeCell ref="AH167:AK167"/>
    <mergeCell ref="AH169:AK169"/>
    <mergeCell ref="E170:H170"/>
    <mergeCell ref="L164:O164"/>
    <mergeCell ref="P164:Q164"/>
    <mergeCell ref="AB164:AC164"/>
    <mergeCell ref="AH164:AK164"/>
    <mergeCell ref="AB170:AC170"/>
    <mergeCell ref="AH170:AK170"/>
    <mergeCell ref="E171:H172"/>
    <mergeCell ref="R171:S171"/>
    <mergeCell ref="AH171:AK171"/>
    <mergeCell ref="R172:S172"/>
    <mergeCell ref="X172:Y172"/>
    <mergeCell ref="AB172:AC172"/>
    <mergeCell ref="AH172:AK172"/>
    <mergeCell ref="E161:H165"/>
    <mergeCell ref="R161:S161"/>
    <mergeCell ref="W161:X161"/>
    <mergeCell ref="AU167:AV170"/>
    <mergeCell ref="S168:T168"/>
    <mergeCell ref="AB168:AC168"/>
    <mergeCell ref="AH168:AK168"/>
    <mergeCell ref="S169:T169"/>
    <mergeCell ref="AB169:AC169"/>
    <mergeCell ref="AE174:AG174"/>
    <mergeCell ref="AH174:AK174"/>
    <mergeCell ref="AP174:AQ174"/>
    <mergeCell ref="AR174:AT174"/>
    <mergeCell ref="AU174:AV174"/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AL179:AM179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700-000000000000}">
          <x14:formula1>
            <xm:f>料金単価!$B$21:$B$28</xm:f>
          </x14:formula1>
          <xm:sqref>Y1:AK1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X180"/>
  <sheetViews>
    <sheetView view="pageBreakPreview" topLeftCell="A13" zoomScaleNormal="115" zoomScaleSheetLayoutView="100" workbookViewId="0">
      <selection activeCell="AH42" sqref="AH42:AK42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8.875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8.875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8.875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8.875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8.875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8.875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8.875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8.875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8.875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8.875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8.875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8.875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8.875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8.875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8.875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8.875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8.875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8.875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8.875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8.875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8.875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8.875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8.875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8.875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8.875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8.875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8.875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8.875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8.875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8.875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8.875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8.875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8.875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8.875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8.875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8.875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8.875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8.875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8.875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8.875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8.875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8.875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8.875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8.875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8.875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8.875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8.875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8.875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8.875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8.875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8.875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8.875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8.875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8.875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8.875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8.875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8.875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8.875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8.875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8.875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8.875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8.875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8.875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8.875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SUMIF(料金単価!$B$21:$B$28,$Y$1,料金単価!A21:A28)</f>
        <v>2</v>
      </c>
      <c r="Y1" s="937" t="s">
        <v>369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99"/>
      <c r="L2" s="199"/>
      <c r="M2" s="200"/>
      <c r="N2" s="200"/>
      <c r="O2" s="200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21</v>
      </c>
      <c r="M7" s="912"/>
      <c r="N7" s="766">
        <v>22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20</v>
      </c>
      <c r="W7" s="927"/>
      <c r="X7" s="766">
        <v>19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10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10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151</v>
      </c>
      <c r="K9" s="886"/>
      <c r="L9" s="886">
        <f>+L7*$J$8</f>
        <v>210</v>
      </c>
      <c r="M9" s="886"/>
      <c r="N9" s="886">
        <f>IF(N7="-","-",+N7*$J$8)</f>
        <v>220</v>
      </c>
      <c r="O9" s="886"/>
      <c r="P9" s="886">
        <f>+P7*$J$8</f>
        <v>130</v>
      </c>
      <c r="Q9" s="886"/>
      <c r="R9" s="887" t="s">
        <v>151</v>
      </c>
      <c r="S9" s="850"/>
      <c r="T9" s="850" t="s">
        <v>152</v>
      </c>
      <c r="U9" s="851"/>
      <c r="V9" s="887" t="s">
        <v>153</v>
      </c>
      <c r="W9" s="850"/>
      <c r="X9" s="850" t="s">
        <v>151</v>
      </c>
      <c r="Y9" s="850"/>
      <c r="Z9" s="850" t="s">
        <v>152</v>
      </c>
      <c r="AA9" s="850"/>
      <c r="AB9" s="850" t="s">
        <v>151</v>
      </c>
      <c r="AC9" s="851"/>
      <c r="AD9" s="887" t="s">
        <v>151</v>
      </c>
      <c r="AE9" s="850"/>
      <c r="AF9" s="850" t="s">
        <v>151</v>
      </c>
      <c r="AG9" s="851"/>
      <c r="AH9" s="930">
        <f>SUM(J9:AG9)</f>
        <v>560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150</v>
      </c>
      <c r="K10" s="797"/>
      <c r="L10" s="797" t="s">
        <v>151</v>
      </c>
      <c r="M10" s="797"/>
      <c r="N10" s="797" t="s">
        <v>152</v>
      </c>
      <c r="O10" s="797"/>
      <c r="P10" s="797" t="s">
        <v>151</v>
      </c>
      <c r="Q10" s="799"/>
      <c r="R10" s="845" t="str">
        <f>IF(R7="-","-",+R7*$R$8)</f>
        <v>-</v>
      </c>
      <c r="S10" s="846"/>
      <c r="T10" s="846" t="s">
        <v>151</v>
      </c>
      <c r="U10" s="876"/>
      <c r="V10" s="845">
        <f>IF(V7="-","-",+V7*$V$8)</f>
        <v>200</v>
      </c>
      <c r="W10" s="846"/>
      <c r="X10" s="847">
        <f>IF(X7="-","-",+X7*$V$8)</f>
        <v>190</v>
      </c>
      <c r="Y10" s="874"/>
      <c r="Z10" s="847">
        <f>IF(Z7="-","-",+Z7*$V$8)</f>
        <v>180</v>
      </c>
      <c r="AA10" s="874"/>
      <c r="AB10" s="847">
        <f>IF(AB7="-","-",+AB7*$V$8)</f>
        <v>140</v>
      </c>
      <c r="AC10" s="875"/>
      <c r="AD10" s="845" t="s">
        <v>151</v>
      </c>
      <c r="AE10" s="846"/>
      <c r="AF10" s="846" t="str">
        <f>IF(AF7="-","-",+AF7*$AF$8)</f>
        <v>-</v>
      </c>
      <c r="AG10" s="876"/>
      <c r="AH10" s="828">
        <f>SUM(J10:AG10)</f>
        <v>860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0.35</v>
      </c>
      <c r="K11" s="900"/>
      <c r="L11" s="900">
        <f>70%*SUMIF(室名リスト!$L$3:$L$10,$X$1,室名リスト!$N$3:$N$10)</f>
        <v>0.7</v>
      </c>
      <c r="M11" s="900"/>
      <c r="N11" s="900">
        <f>80%*SUMIF(室名リスト!$L$3:$L$10,$X$1,室名リスト!$N$3:$N$10)</f>
        <v>0.8</v>
      </c>
      <c r="O11" s="900"/>
      <c r="P11" s="900">
        <f>50%*SUMIF(室名リスト!$L$3:$L$10,$X$1,室名リスト!$N$3:$N$10)</f>
        <v>0.5</v>
      </c>
      <c r="Q11" s="901"/>
      <c r="R11" s="902" t="s">
        <v>150</v>
      </c>
      <c r="S11" s="892"/>
      <c r="T11" s="836" t="s">
        <v>150</v>
      </c>
      <c r="U11" s="871"/>
      <c r="V11" s="872">
        <f>45%*SUMIF(室名リスト!$L$3:$L$10,$X$1,室名リスト!$N$3:$N$10)</f>
        <v>0.45</v>
      </c>
      <c r="W11" s="873"/>
      <c r="X11" s="873">
        <f>60%*SUMIF(室名リスト!$L$3:$L$10,$X$1,室名リスト!$N$3:$N$10)</f>
        <v>0.6</v>
      </c>
      <c r="Y11" s="873"/>
      <c r="Z11" s="873">
        <f>60%*SUMIF(室名リスト!$L$3:$L$10,$X$1,室名リスト!$N$3:$N$10)</f>
        <v>0.6</v>
      </c>
      <c r="AA11" s="873"/>
      <c r="AB11" s="873">
        <f>35%*SUMIF(室名リスト!$L$3:$L$10,$X$1,室名リスト!$N$3:$N$10)</f>
        <v>0.35</v>
      </c>
      <c r="AC11" s="891"/>
      <c r="AD11" s="838" t="s">
        <v>82</v>
      </c>
      <c r="AE11" s="836"/>
      <c r="AF11" s="892" t="s">
        <v>150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154</v>
      </c>
      <c r="K12" s="788"/>
      <c r="L12" s="788">
        <f>+L9*L11</f>
        <v>147</v>
      </c>
      <c r="M12" s="788"/>
      <c r="N12" s="788">
        <f>IF(N9="-","-",+N9*N11)</f>
        <v>176</v>
      </c>
      <c r="O12" s="788"/>
      <c r="P12" s="788">
        <f>+P9*P11</f>
        <v>65</v>
      </c>
      <c r="Q12" s="788"/>
      <c r="R12" s="838" t="s">
        <v>151</v>
      </c>
      <c r="S12" s="836"/>
      <c r="T12" s="836" t="s">
        <v>151</v>
      </c>
      <c r="U12" s="871"/>
      <c r="V12" s="887" t="s">
        <v>151</v>
      </c>
      <c r="W12" s="850"/>
      <c r="X12" s="850" t="s">
        <v>152</v>
      </c>
      <c r="Y12" s="850"/>
      <c r="Z12" s="850" t="s">
        <v>153</v>
      </c>
      <c r="AA12" s="850"/>
      <c r="AB12" s="850" t="s">
        <v>152</v>
      </c>
      <c r="AC12" s="851"/>
      <c r="AD12" s="838" t="s">
        <v>151</v>
      </c>
      <c r="AE12" s="836"/>
      <c r="AF12" s="836" t="s">
        <v>153</v>
      </c>
      <c r="AG12" s="837"/>
      <c r="AH12" s="775">
        <f t="shared" ref="AH12:AH21" si="0">SUM(J12:AG12)</f>
        <v>388</v>
      </c>
      <c r="AI12" s="755"/>
      <c r="AJ12" s="755">
        <f>SUM(AH12:AI13)</f>
        <v>801.5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52.5</v>
      </c>
      <c r="K13" s="797"/>
      <c r="L13" s="797" t="s">
        <v>152</v>
      </c>
      <c r="M13" s="797"/>
      <c r="N13" s="797" t="s">
        <v>151</v>
      </c>
      <c r="O13" s="797"/>
      <c r="P13" s="797" t="s">
        <v>151</v>
      </c>
      <c r="Q13" s="799"/>
      <c r="R13" s="845" t="str">
        <f>IF(R10="-","-",+R10*R11)</f>
        <v>-</v>
      </c>
      <c r="S13" s="846"/>
      <c r="T13" s="846" t="s">
        <v>151</v>
      </c>
      <c r="U13" s="847"/>
      <c r="V13" s="848">
        <f>IF(V10="-","-",+V10*V11)</f>
        <v>90</v>
      </c>
      <c r="W13" s="849"/>
      <c r="X13" s="798">
        <f>IF(X10="-","-",+X10*X11)</f>
        <v>114</v>
      </c>
      <c r="Y13" s="849"/>
      <c r="Z13" s="798">
        <f>IF(Z10="-","-",+Z10*Z11)</f>
        <v>108</v>
      </c>
      <c r="AA13" s="849"/>
      <c r="AB13" s="798">
        <f>IF(AB10="-","-",+AB10*AB11)</f>
        <v>49</v>
      </c>
      <c r="AC13" s="878"/>
      <c r="AD13" s="845" t="s">
        <v>151</v>
      </c>
      <c r="AE13" s="846"/>
      <c r="AF13" s="846" t="str">
        <f>IF(AF10="-","-",+AF10*AF11)</f>
        <v>-</v>
      </c>
      <c r="AG13" s="876"/>
      <c r="AH13" s="828">
        <f t="shared" si="0"/>
        <v>413.5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153</v>
      </c>
      <c r="K14" s="788"/>
      <c r="L14" s="789">
        <f>IF(L9="-",31*24,31*24-L9)</f>
        <v>534</v>
      </c>
      <c r="M14" s="789"/>
      <c r="N14" s="836">
        <f>IF(N9="-",31*24,31*24-N9)</f>
        <v>524</v>
      </c>
      <c r="O14" s="836"/>
      <c r="P14" s="789">
        <f>IF(P9="-",30*24,30*24-P9)</f>
        <v>590</v>
      </c>
      <c r="Q14" s="877"/>
      <c r="R14" s="838" t="s">
        <v>150</v>
      </c>
      <c r="S14" s="836"/>
      <c r="T14" s="836" t="s">
        <v>151</v>
      </c>
      <c r="U14" s="871"/>
      <c r="V14" s="838" t="s">
        <v>154</v>
      </c>
      <c r="W14" s="836"/>
      <c r="X14" s="836" t="s">
        <v>151</v>
      </c>
      <c r="Y14" s="836"/>
      <c r="Z14" s="836" t="s">
        <v>153</v>
      </c>
      <c r="AA14" s="836"/>
      <c r="AB14" s="836" t="s">
        <v>151</v>
      </c>
      <c r="AC14" s="837"/>
      <c r="AD14" s="838" t="s">
        <v>151</v>
      </c>
      <c r="AE14" s="836"/>
      <c r="AF14" s="836" t="s">
        <v>153</v>
      </c>
      <c r="AG14" s="837"/>
      <c r="AH14" s="775">
        <f t="shared" si="0"/>
        <v>1648</v>
      </c>
      <c r="AI14" s="755"/>
      <c r="AJ14" s="755">
        <f>SUM(AH14:AI15)</f>
        <v>7340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570</v>
      </c>
      <c r="K15" s="764"/>
      <c r="L15" s="765" t="s">
        <v>152</v>
      </c>
      <c r="M15" s="766"/>
      <c r="N15" s="765" t="s">
        <v>151</v>
      </c>
      <c r="O15" s="766"/>
      <c r="P15" s="765" t="s">
        <v>151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544</v>
      </c>
      <c r="W15" s="834"/>
      <c r="X15" s="834">
        <f>IF(X10="-",31*24,31*24-X10)</f>
        <v>554</v>
      </c>
      <c r="Y15" s="834"/>
      <c r="Z15" s="834">
        <f>IF(Z10="-",28*24,28*24-Z10)</f>
        <v>492</v>
      </c>
      <c r="AA15" s="834"/>
      <c r="AB15" s="834">
        <f>IF(AB10="-",31*24,31*24-AB10)</f>
        <v>604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5692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151</v>
      </c>
      <c r="K16" s="861"/>
      <c r="L16" s="862">
        <f>IF(L12="-",0,L12*SUMIF('様式11-5'!$G$92:$G$99,'様式11-6②'!$Y$1,'様式11-5'!$Q$92:$Q$99))+L14*SUMIF('様式11-5'!$G$92:$G$99,'様式11-6②'!$Y$1,'様式11-5'!$T$92:$T$99)</f>
        <v>955.31294117647076</v>
      </c>
      <c r="M16" s="863"/>
      <c r="N16" s="862">
        <f>IF(N12="-",0,N12*SUMIF('様式11-5'!$G$92:$G$99,'様式11-6②'!$Y$1,'様式11-5'!$Q$92:$Q$99))+N14*SUMIF('様式11-5'!$G$92:$G$99,'様式11-6②'!$Y$1,'様式11-5'!$T$92:$T$99)</f>
        <v>1127.4917647058826</v>
      </c>
      <c r="O16" s="863"/>
      <c r="P16" s="862">
        <f>IF(P12="-",0,P12*SUMIF('様式11-5'!$G$92:$G$99,'様式11-6②'!$Y$1,'様式11-5'!$Q$92:$Q$99))+P14*SUMIF('様式11-5'!$G$92:$G$99,'様式11-6②'!$Y$1,'様式11-5'!$T$92:$T$99)</f>
        <v>472.37647058823541</v>
      </c>
      <c r="Q16" s="862"/>
      <c r="R16" s="864" t="s">
        <v>153</v>
      </c>
      <c r="S16" s="816"/>
      <c r="T16" s="816" t="s">
        <v>151</v>
      </c>
      <c r="U16" s="865"/>
      <c r="V16" s="864" t="s">
        <v>151</v>
      </c>
      <c r="W16" s="816"/>
      <c r="X16" s="816" t="s">
        <v>153</v>
      </c>
      <c r="Y16" s="816"/>
      <c r="Z16" s="816" t="s">
        <v>151</v>
      </c>
      <c r="AA16" s="816"/>
      <c r="AB16" s="816" t="s">
        <v>153</v>
      </c>
      <c r="AC16" s="817"/>
      <c r="AD16" s="818" t="s">
        <v>153</v>
      </c>
      <c r="AE16" s="816"/>
      <c r="AF16" s="816" t="s">
        <v>151</v>
      </c>
      <c r="AG16" s="817"/>
      <c r="AH16" s="819">
        <f t="shared" si="0"/>
        <v>2555.1811764705885</v>
      </c>
      <c r="AI16" s="820"/>
      <c r="AJ16" s="820">
        <f>SUM(AH16:AI17)</f>
        <v>17188.856470588235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IF(J13="-",0,J13*SUMIF('様式11-5'!$G$92:$G$99,'様式11-6②'!$Y$1,'様式11-5'!$Q$92:$Q$99))+J15*SUMIF('様式11-5'!$G$92:$G$99,'様式11-6②'!$Y$1,'様式11-5'!$T$92:$T$99)</f>
        <v>394.72941176470596</v>
      </c>
      <c r="K17" s="844"/>
      <c r="L17" s="797" t="s">
        <v>151</v>
      </c>
      <c r="M17" s="798"/>
      <c r="N17" s="797" t="s">
        <v>151</v>
      </c>
      <c r="O17" s="798"/>
      <c r="P17" s="797" t="s">
        <v>151</v>
      </c>
      <c r="Q17" s="799"/>
      <c r="R17" s="768">
        <f>IF(R13="-",0,R13*SUMIF('様式11-5'!$G$92:$G$99,'様式11-6②'!$Y$1,'様式11-5'!$Q$92:$Q$99))+R15*SUMIF('様式11-5'!$G$92:$G$99,'様式11-6②'!$Y$1,'様式11-5'!$T$92:$T$99)</f>
        <v>105.03529411764708</v>
      </c>
      <c r="S17" s="814"/>
      <c r="T17" s="769">
        <f>IF(T13="-",0,T13*SUMIF('様式11-5'!$G$92:$G$99,'様式11-6②'!$Y$1,'様式11-5'!$R$92:$R$99))+T15*SUMIF('様式11-5'!$G$92:$G$99,'様式11-6②'!$Y$1,'様式11-5'!$T$92:$T$99)</f>
        <v>101.64705882352943</v>
      </c>
      <c r="U17" s="815"/>
      <c r="V17" s="795">
        <f>IF(V13="-",0,V13*SUMIF('様式11-5'!$G$92:$G$99,'様式11-6②'!$Y$1,'様式11-5'!$R$92:$R$99))+V15*SUMIF('様式11-5'!$G$92:$G$99,'様式11-6②'!$Y$1,'様式11-5'!$T$92:$T$99)</f>
        <v>3446.4</v>
      </c>
      <c r="W17" s="796"/>
      <c r="X17" s="824">
        <f>IF(X13="-",0,X13*SUMIF('様式11-5'!$G$92:$G$99,'様式11-6②'!$Y$1,'様式11-5'!$R$92:$R$99))+X15*SUMIF('様式11-5'!$G$92:$G$99,'様式11-6②'!$Y$1,'様式11-5'!$T$92:$T$99)</f>
        <v>4346.371764705882</v>
      </c>
      <c r="Y17" s="825"/>
      <c r="Z17" s="824">
        <f>IF(Z13="-",0,Z13*SUMIF('様式11-5'!$G$92:$G$99,'様式11-6②'!$Y$1,'様式11-5'!$R$92:$R$99))+Z15*SUMIF('様式11-5'!$G$92:$G$99,'様式11-6②'!$Y$1,'様式11-5'!$T$92:$T$99)</f>
        <v>4112.9788235294109</v>
      </c>
      <c r="AA17" s="825"/>
      <c r="AB17" s="824">
        <f>IF(AB13="-",0,AB13*SUMIF('様式11-5'!$G$92:$G$99,'様式11-6②'!$Y$1,'様式11-5'!$R$92:$R$99))+AB15*SUMIF('様式11-5'!$G$92:$G$99,'様式11-6②'!$Y$1,'様式11-5'!$T$92:$T$99)</f>
        <v>1919.830588235294</v>
      </c>
      <c r="AC17" s="826"/>
      <c r="AD17" s="827">
        <f>IF(AD13="-",0,AD13*SUMIF('様式11-5'!$G$92:$G$99,'様式11-6②'!$Y$1,'様式11-5'!$R$92:$R$99))+AD15*SUMIF('様式11-5'!$G$92:$G$99,'様式11-6②'!$Y$1,'様式11-5'!$T$92:$T$99)</f>
        <v>101.64705882352943</v>
      </c>
      <c r="AE17" s="769"/>
      <c r="AF17" s="827">
        <f>IF(AF13="-",0,AF13*SUMIF('様式11-5'!$G$92:$G$99,'様式11-6②'!$Y$1,'様式11-5'!$Q$92:$Q$99))+AF15*SUMIF('様式11-5'!$G$92:$G$99,'様式11-6②'!$Y$1,'様式11-5'!$T$92:$T$99)</f>
        <v>105.03529411764708</v>
      </c>
      <c r="AG17" s="769"/>
      <c r="AH17" s="828">
        <f>SUM(J17:AG17)</f>
        <v>14633.675294117647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151</v>
      </c>
      <c r="K18" s="788"/>
      <c r="L18" s="772">
        <f>IF(L9="-",0,L9*SUMIF('様式11-5'!$G$100:$G$107,'様式11-6②'!$Y$1,'様式11-5'!$R$100:$R$107))+L14*SUMIF('様式11-5'!$G$100:$G$107,'様式11-6②'!$Y$1,'様式11-5'!$T$100:$T$107)</f>
        <v>81.900000000000006</v>
      </c>
      <c r="M18" s="772"/>
      <c r="N18" s="772">
        <f>IF(N9="-",0,N9*SUMIF('様式11-5'!$G$100:$G$107,'様式11-6②'!$Y$1,'様式11-5'!$R$100:$R$107))+N14*SUMIF('様式11-5'!$G$100:$G$107,'様式11-6②'!$Y$1,'様式11-5'!$T$100:$T$107)</f>
        <v>85.8</v>
      </c>
      <c r="O18" s="772"/>
      <c r="P18" s="789">
        <f>IF(P9="-",0,P9*SUMIF('様式11-5'!$G$100:$G$107,'様式11-6②'!$Y$1,'様式11-5'!$R$100:$R$107))+P14*SUMIF('様式11-5'!$G$100:$G$107,'様式11-6②'!$Y$1,'様式11-5'!$T$100:$T$107)</f>
        <v>50.7</v>
      </c>
      <c r="Q18" s="789"/>
      <c r="R18" s="791" t="s">
        <v>153</v>
      </c>
      <c r="S18" s="772"/>
      <c r="T18" s="772" t="s">
        <v>153</v>
      </c>
      <c r="U18" s="792"/>
      <c r="V18" s="791" t="s">
        <v>152</v>
      </c>
      <c r="W18" s="772"/>
      <c r="X18" s="772" t="s">
        <v>153</v>
      </c>
      <c r="Y18" s="772"/>
      <c r="Z18" s="772" t="s">
        <v>153</v>
      </c>
      <c r="AA18" s="772"/>
      <c r="AB18" s="772" t="s">
        <v>151</v>
      </c>
      <c r="AC18" s="773"/>
      <c r="AD18" s="774" t="s">
        <v>153</v>
      </c>
      <c r="AE18" s="772"/>
      <c r="AF18" s="772" t="s">
        <v>153</v>
      </c>
      <c r="AG18" s="773"/>
      <c r="AH18" s="775">
        <f t="shared" si="0"/>
        <v>218.39999999999998</v>
      </c>
      <c r="AI18" s="755"/>
      <c r="AJ18" s="755">
        <f>SUM(AH18:AI19)</f>
        <v>553.79999999999995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IF(J10="-",0,J10*SUMIF('様式11-5'!$G$100:$G$107,'様式11-6②'!$Y$1,'様式11-5'!$R$100:$R$107))+J15*SUMIF('様式11-5'!$G$100:$G$107,'様式11-6②'!$Y$1,'様式11-5'!$T$100:$T$107)</f>
        <v>58.5</v>
      </c>
      <c r="K19" s="796"/>
      <c r="L19" s="797" t="s">
        <v>150</v>
      </c>
      <c r="M19" s="798"/>
      <c r="N19" s="797" t="s">
        <v>153</v>
      </c>
      <c r="O19" s="798"/>
      <c r="P19" s="797" t="s">
        <v>151</v>
      </c>
      <c r="Q19" s="799"/>
      <c r="R19" s="768">
        <f>IF(R10="-",0,R10*SUMIF('様式11-5'!$G$100:$G$107,'様式11-6②'!$Y$1,'様式11-5'!$R$100:$R$107))+R15*SUMIF('様式11-5'!$G$100:$G$107,'様式11-6②'!$Y$1,'様式11-5'!$T$100:$T$107)</f>
        <v>0</v>
      </c>
      <c r="S19" s="769"/>
      <c r="T19" s="814">
        <f>IF(T10="-",0,T10*SUMIF('様式11-5'!$G$100:$G$107,'様式11-6②'!$Y$1,'様式11-5'!$R$100:$R$107))+T15*SUMIF('様式11-5'!$G$100:$G$107,'様式11-6②'!$Y$1,'様式11-5'!$T$100:$T$107)</f>
        <v>0</v>
      </c>
      <c r="U19" s="831"/>
      <c r="V19" s="832">
        <f>IF(V10="-",0,V10*SUMIF('様式11-5'!$G$100:$G$107,'様式11-6②'!$Y$1,'様式11-5'!$R$100:$R$107))+V15*SUMIF('様式11-5'!$G$100:$G$107,'様式11-6②'!$Y$1,'様式11-5'!$T$100:$T$107)</f>
        <v>78</v>
      </c>
      <c r="W19" s="825"/>
      <c r="X19" s="824">
        <f>IF(X10="-",0,X10*SUMIF('様式11-5'!$G$100:$G$107,'様式11-6②'!$Y$1,'様式11-5'!$R$100:$R$107))+X15*SUMIF('様式11-5'!$G$100:$G$107,'様式11-6②'!$Y$1,'様式11-5'!$T$100:$T$107)</f>
        <v>74.100000000000009</v>
      </c>
      <c r="Y19" s="825"/>
      <c r="Z19" s="824">
        <f>IF(Z10="-",0,Z10*SUMIF('様式11-5'!$G$100:$G$107,'様式11-6②'!$Y$1,'様式11-5'!$R$100:$R$107))+Z15*SUMIF('様式11-5'!$G$100:$G$107,'様式11-6②'!$Y$1,'様式11-5'!$T$100:$T$107)</f>
        <v>70.2</v>
      </c>
      <c r="AA19" s="825"/>
      <c r="AB19" s="824">
        <f>IF(AB10="-",0,AB10*SUMIF('様式11-5'!$G$100:$G$107,'様式11-6②'!$Y$1,'様式11-5'!$R$100:$R$107))+AB15*SUMIF('様式11-5'!$G$100:$G$107,'様式11-6②'!$Y$1,'様式11-5'!$T$100:$T$107)</f>
        <v>54.6</v>
      </c>
      <c r="AC19" s="826"/>
      <c r="AD19" s="827">
        <f>IF(AD10="-",0,AD10*SUMIF('様式11-5'!$G$100:$G$107,'様式11-6②'!$Y$1,'様式11-5'!$R$100:$R$107))+AD15*SUMIF('様式11-5'!$G$100:$G$107,'様式11-6②'!$Y$1,'様式11-5'!$T$100:$T$107)</f>
        <v>0</v>
      </c>
      <c r="AE19" s="769"/>
      <c r="AF19" s="827">
        <f>IF(AF10="-",0,AF10*SUMIF('様式11-5'!$G$100:$G$107,'様式11-6②'!$Y$1,'様式11-5'!$R$100:$R$107))+AF15*SUMIF('様式11-5'!$G$100:$G$107,'様式11-6②'!$Y$1,'様式11-5'!$T$100:$T$107)</f>
        <v>0</v>
      </c>
      <c r="AG19" s="769"/>
      <c r="AH19" s="828">
        <f t="shared" si="0"/>
        <v>335.40000000000003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153</v>
      </c>
      <c r="K20" s="788"/>
      <c r="L20" s="789">
        <f>IF(L9="-",0,L9*SUMIF('様式11-5'!$G$108:$G$115,'様式11-6②'!$Y$1,'様式11-5'!$Q$108:$Q$115))+L14*SUMIF('様式11-5'!$G$108:$G$115,'様式11-6②'!$Y$1,'様式11-5'!$T$108:$T$115)</f>
        <v>42</v>
      </c>
      <c r="M20" s="790"/>
      <c r="N20" s="789">
        <f>IF(N9="-",0,N9*SUMIF('様式11-5'!$G$108:$G$115,'様式11-6②'!$Y$1,'様式11-5'!$Q$108:$Q$115))+N14*SUMIF('様式11-5'!$G$108:$G$115,'様式11-6②'!$Y$1,'様式11-5'!$T$108:$T$115)</f>
        <v>44</v>
      </c>
      <c r="O20" s="790"/>
      <c r="P20" s="789">
        <f>IF(P9="-",0,P9*SUMIF('様式11-5'!$G$108:$G$115,'様式11-6②'!$Y$1,'様式11-5'!$Q$108:$Q$115))+P14*SUMIF('様式11-5'!$G$108:$G$115,'様式11-6②'!$Y$1,'様式11-5'!$T$108:$T$115)</f>
        <v>26</v>
      </c>
      <c r="Q20" s="789"/>
      <c r="R20" s="791" t="s">
        <v>151</v>
      </c>
      <c r="S20" s="772"/>
      <c r="T20" s="772" t="s">
        <v>153</v>
      </c>
      <c r="U20" s="792"/>
      <c r="V20" s="791" t="s">
        <v>151</v>
      </c>
      <c r="W20" s="772"/>
      <c r="X20" s="772" t="s">
        <v>151</v>
      </c>
      <c r="Y20" s="772"/>
      <c r="Z20" s="772" t="s">
        <v>151</v>
      </c>
      <c r="AA20" s="772"/>
      <c r="AB20" s="772" t="s">
        <v>153</v>
      </c>
      <c r="AC20" s="773"/>
      <c r="AD20" s="774" t="s">
        <v>153</v>
      </c>
      <c r="AE20" s="772"/>
      <c r="AF20" s="772" t="s">
        <v>151</v>
      </c>
      <c r="AG20" s="773"/>
      <c r="AH20" s="775">
        <f t="shared" si="0"/>
        <v>112</v>
      </c>
      <c r="AI20" s="755"/>
      <c r="AJ20" s="755">
        <f>SUM(AH20:AI21)</f>
        <v>284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IF(J10="-",0,J10*SUMIF('様式11-5'!$G$108:$G$115,'様式11-6②'!$Y$1,'様式11-5'!$Q$108:$Q$115))+J15*SUMIF('様式11-5'!$G$108:$G$115,'様式11-6②'!$Y$1,'様式11-5'!$T$108:$T$115)</f>
        <v>30</v>
      </c>
      <c r="K21" s="764"/>
      <c r="L21" s="765" t="s">
        <v>153</v>
      </c>
      <c r="M21" s="766"/>
      <c r="N21" s="765" t="s">
        <v>153</v>
      </c>
      <c r="O21" s="766"/>
      <c r="P21" s="765" t="s">
        <v>153</v>
      </c>
      <c r="Q21" s="767"/>
      <c r="R21" s="768">
        <f>IF(R10="-",0,R10*SUMIF('様式11-5'!$G$108:$G$115,'様式11-6②'!$Y$1,'様式11-5'!$Q$108:$Q$115))+R15*SUMIF('様式11-5'!$G$108:$G$115,'様式11-6②'!$Y$1,'様式11-5'!$T$108:$T$115)</f>
        <v>0</v>
      </c>
      <c r="S21" s="769"/>
      <c r="T21" s="720">
        <f>IF(T10="-",0,T10*SUMIF('様式11-5'!$G$108:$G$115,'様式11-6②'!$Y$1,'様式11-5'!$R$108:$R$115))+T15*SUMIF('様式11-5'!$G$108:$G$115,'様式11-6②'!$Y$1,'様式11-5'!$T$108:$T$115)</f>
        <v>0</v>
      </c>
      <c r="U21" s="722"/>
      <c r="V21" s="770">
        <f>IF(V10="-",0,V10*SUMIF('様式11-5'!$G$108:$G$115,'様式11-6②'!$Y$1,'様式11-5'!$R$108:$R$115))+V15*SUMIF('様式11-5'!$G$108:$G$115,'様式11-6②'!$Y$1,'様式11-5'!$T$108:$T$115)</f>
        <v>40</v>
      </c>
      <c r="W21" s="771"/>
      <c r="X21" s="748">
        <f>IF(X10="-",0,X10*SUMIF('様式11-5'!$G$108:$G$115,'様式11-6②'!$Y$1,'様式11-5'!$R$108:$R$115))+X15*SUMIF('様式11-5'!$G$108:$G$115,'様式11-6②'!$Y$1,'様式11-5'!$T$108:$T$115)</f>
        <v>38</v>
      </c>
      <c r="Y21" s="749"/>
      <c r="Z21" s="748">
        <f>IF(Z10="-",0,Z10*SUMIF('様式11-5'!$G$108:$G$115,'様式11-6②'!$Y$1,'様式11-5'!$R$108:$R$115))+Z15*SUMIF('様式11-5'!$G$108:$G$115,'様式11-6②'!$Y$1,'様式11-5'!$T$108:$T$115)</f>
        <v>36</v>
      </c>
      <c r="AA21" s="749"/>
      <c r="AB21" s="748">
        <f>IF(AB10="-",0,AB10*SUMIF('様式11-5'!$G$108:$G$115,'様式11-6②'!$Y$1,'様式11-5'!$R$108:$R$115))+AB15*SUMIF('様式11-5'!$G$108:$G$115,'様式11-6②'!$Y$1,'様式11-5'!$T$108:$T$115)</f>
        <v>28</v>
      </c>
      <c r="AC21" s="750"/>
      <c r="AD21" s="751">
        <f>IF(AD10="-",0,AD10*SUMIF('様式11-5'!$G$108:$G$115,'様式11-6②'!$Y$1,'様式11-5'!$R$108:$R$115))+AD15*SUMIF('様式11-5'!$G$108:$G$115,'様式11-6②'!$Y$1,'様式11-5'!$T$108:$T$115)</f>
        <v>0</v>
      </c>
      <c r="AE21" s="752"/>
      <c r="AF21" s="751">
        <f>IF(AF10="-",0,AF10*SUMIF('様式11-5'!$G$108:$G$115,'様式11-6②'!$Y$1,'様式11-5'!$Q$108:$Q$115))+AF15*SUMIF('様式11-5'!$G$108:$G$115,'様式11-6②'!$Y$1,'様式11-5'!$T$108:$T$115)</f>
        <v>0</v>
      </c>
      <c r="AG21" s="752"/>
      <c r="AH21" s="753">
        <f t="shared" si="0"/>
        <v>172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IF(J13="-",0,J13*SUMIF('様式11-5'!$G$92:$G$99,'様式11-6②'!$Y$1,'様式11-5'!$X$92:$X$99))</f>
        <v>49.411764705882355</v>
      </c>
      <c r="K22" s="807"/>
      <c r="L22" s="808">
        <f>IF(L12="-",0,L12*SUMIF('様式11-5'!$G$92:$G$99,'様式11-6②'!$Y$1,'様式11-5'!$X$92:$X$99))</f>
        <v>138.35294117647058</v>
      </c>
      <c r="M22" s="809"/>
      <c r="N22" s="810">
        <f>IF(N12="-",0,N12*SUMIF('様式11-5'!$G$92:$G$99,'様式11-6②'!$Y$1,'様式11-5'!$X$92:$X$99))</f>
        <v>165.64705882352942</v>
      </c>
      <c r="O22" s="810"/>
      <c r="P22" s="808">
        <f>IF(P12="-",0,P12*SUMIF('様式11-5'!$G$92:$G$99,'様式11-6②'!$Y$1,'様式11-5'!$X$92:$X$99))</f>
        <v>61.17647058823529</v>
      </c>
      <c r="Q22" s="811"/>
      <c r="R22" s="812">
        <f>IF(R13="-",0,R13*SUMIF('様式11-5'!$G$92:$G$99,'様式11-6②'!$Y$1,'様式11-5'!$X$92:$X$99))</f>
        <v>0</v>
      </c>
      <c r="S22" s="743"/>
      <c r="T22" s="743">
        <f>IF(T13="-",0,T13*SUMIF('様式11-5'!$G$92:$G$99,'様式11-6②'!$Y$1,'様式11-5'!$X$92:$X$99))</f>
        <v>0</v>
      </c>
      <c r="U22" s="813"/>
      <c r="V22" s="812" t="s">
        <v>153</v>
      </c>
      <c r="W22" s="743"/>
      <c r="X22" s="743" t="s">
        <v>153</v>
      </c>
      <c r="Y22" s="743"/>
      <c r="Z22" s="743" t="s">
        <v>151</v>
      </c>
      <c r="AA22" s="743"/>
      <c r="AB22" s="743" t="s">
        <v>153</v>
      </c>
      <c r="AC22" s="744"/>
      <c r="AD22" s="745">
        <f>IF(AD13="-",0,AD13*SUMIF('様式11-5'!$G$92:$G$99,'様式11-6②'!$Y$1,'様式11-5'!$Y$92:$Y$99))</f>
        <v>0</v>
      </c>
      <c r="AE22" s="743"/>
      <c r="AF22" s="743">
        <f>IF(AF13="-",0,AF13*SUMIF('様式11-5'!$G$92:$G$99,'様式11-6②'!$Y$1,'様式11-5'!$X$92:$X$99))</f>
        <v>0</v>
      </c>
      <c r="AG22" s="744"/>
      <c r="AH22" s="746">
        <f>SUM(J22:AG22)</f>
        <v>414.58823529411762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151</v>
      </c>
      <c r="K23" s="737"/>
      <c r="L23" s="737" t="s">
        <v>151</v>
      </c>
      <c r="M23" s="737"/>
      <c r="N23" s="737" t="s">
        <v>151</v>
      </c>
      <c r="O23" s="737"/>
      <c r="P23" s="737" t="s">
        <v>153</v>
      </c>
      <c r="Q23" s="738"/>
      <c r="R23" s="739" t="s">
        <v>153</v>
      </c>
      <c r="S23" s="724"/>
      <c r="T23" s="724" t="s">
        <v>153</v>
      </c>
      <c r="U23" s="740"/>
      <c r="V23" s="741">
        <f>IF(V13="-",0,V13*SUMIF('様式11-5'!$G$92:$G$99,'様式11-6②'!$Y$1,'様式11-5'!$Y$92:$Y$99))</f>
        <v>0</v>
      </c>
      <c r="W23" s="742"/>
      <c r="X23" s="720">
        <f>IF(X13="-",0,X13*SUMIF('様式11-5'!$G$92:$G$99,'様式11-6②'!$Y$1,'様式11-5'!$Y$92:$Y$99))</f>
        <v>0</v>
      </c>
      <c r="Y23" s="721"/>
      <c r="Z23" s="720">
        <f>IF(Z13="-",0,Z13*SUMIF('様式11-5'!$G$92:$G$99,'様式11-6②'!$Y$1,'様式11-5'!$Y$92:$Y$99))</f>
        <v>0</v>
      </c>
      <c r="AA23" s="721"/>
      <c r="AB23" s="720">
        <f>IF(AB13="-",0,AB13*SUMIF('様式11-5'!$G$92:$G$99,'様式11-6②'!$Y$1,'様式11-5'!$Y$92:$Y$99))</f>
        <v>0</v>
      </c>
      <c r="AC23" s="722"/>
      <c r="AD23" s="723" t="s">
        <v>153</v>
      </c>
      <c r="AE23" s="724"/>
      <c r="AF23" s="724" t="s">
        <v>151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1285.8699999999999</v>
      </c>
      <c r="S27" s="548"/>
      <c r="T27" s="28" t="s">
        <v>71</v>
      </c>
      <c r="U27" s="28"/>
      <c r="V27" s="28"/>
      <c r="W27" s="549">
        <f>SUMIF('様式11-5'!$G$92:$G$99,'様式11-6②'!$Y$1,'様式11-5'!$Q$92:$Q$99)+SUMIF('様式11-5'!$G$100:$G$107,'様式11-6②'!$Y$1,'様式11-5'!$R$100:$R$107)+SUMIF('様式11-5'!$G$108:$G$115,'様式11-6②'!$Y$1,'様式11-5'!$Q$108:$Q$115)</f>
        <v>6.5758823529411776</v>
      </c>
      <c r="X27" s="549"/>
      <c r="Y27" s="28" t="s">
        <v>225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7187.3703650000007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202</v>
      </c>
      <c r="AQ27" s="662"/>
      <c r="AR27" s="663">
        <f>AN27*AB30/1000</f>
        <v>0.21697000588235299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198</v>
      </c>
      <c r="S28" s="33">
        <f>IF(P28="夏季",料金単価!$D$3,料金単価!$E$3)</f>
        <v>12.63</v>
      </c>
      <c r="T28" s="148" t="s">
        <v>183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483.22941176470596</v>
      </c>
      <c r="AC28" s="702"/>
      <c r="AD28" s="24" t="s">
        <v>191</v>
      </c>
      <c r="AE28" s="24"/>
      <c r="AF28" s="24"/>
      <c r="AG28" s="152"/>
      <c r="AH28" s="648">
        <f>(S28+U28+W28)*AB28</f>
        <v>11293.071352941179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153"/>
      <c r="J29" s="154"/>
      <c r="K29" s="154"/>
      <c r="L29" s="155"/>
      <c r="M29" s="155"/>
      <c r="N29" s="155"/>
      <c r="O29" s="155"/>
      <c r="P29" s="155"/>
      <c r="Q29" s="156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70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7"/>
      <c r="S30" s="27"/>
      <c r="T30" s="25"/>
      <c r="U30" s="25"/>
      <c r="V30" s="25"/>
      <c r="W30" s="165"/>
      <c r="X30" s="166"/>
      <c r="Y30" s="166"/>
      <c r="Z30" s="167"/>
      <c r="AA30" s="168"/>
      <c r="AB30" s="711">
        <f>SUM(AB28:AC28)</f>
        <v>483.22941176470596</v>
      </c>
      <c r="AC30" s="711"/>
      <c r="AD30" s="169" t="s">
        <v>57</v>
      </c>
      <c r="AE30" s="25"/>
      <c r="AF30" s="25"/>
      <c r="AG30" s="25"/>
      <c r="AH30" s="712">
        <f>SUM(AH27:AK28)</f>
        <v>18480.441717941179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226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53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179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161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227</v>
      </c>
      <c r="W32" s="173">
        <f>料金単価!$F$7</f>
        <v>14.55</v>
      </c>
      <c r="X32" s="174" t="s">
        <v>165</v>
      </c>
      <c r="Y32" s="155" t="s">
        <v>166</v>
      </c>
      <c r="Z32" s="719">
        <f>IF('様式11-5'!U$1="LPG",0,J$22)</f>
        <v>0</v>
      </c>
      <c r="AA32" s="719"/>
      <c r="AB32" s="23" t="s">
        <v>167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7"/>
      <c r="S33" s="27"/>
      <c r="T33" s="25"/>
      <c r="U33" s="25"/>
      <c r="V33" s="25"/>
      <c r="W33" s="165"/>
      <c r="X33" s="166"/>
      <c r="Y33" s="166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178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53" t="s">
        <v>51</v>
      </c>
      <c r="AD34" s="28"/>
      <c r="AE34" s="28"/>
      <c r="AF34" s="28"/>
      <c r="AG34" s="28"/>
      <c r="AH34" s="640">
        <f>IF(AH22+AH23=0,0,R34*AB34)</f>
        <v>1320</v>
      </c>
      <c r="AI34" s="641"/>
      <c r="AJ34" s="641"/>
      <c r="AK34" s="642"/>
      <c r="AL34" s="617" t="s">
        <v>177</v>
      </c>
      <c r="AM34" s="618"/>
      <c r="AN34" s="594">
        <v>6</v>
      </c>
      <c r="AO34" s="595"/>
      <c r="AP34" s="613" t="s">
        <v>192</v>
      </c>
      <c r="AQ34" s="614"/>
      <c r="AR34" s="625">
        <f>AN34*X36/1000</f>
        <v>0.29647058823529415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49.411764705882355</v>
      </c>
      <c r="Y35" s="644"/>
      <c r="Z35" s="23" t="s">
        <v>176</v>
      </c>
      <c r="AA35" s="23"/>
      <c r="AB35" s="23"/>
      <c r="AC35" s="24"/>
      <c r="AD35" s="23"/>
      <c r="AE35" s="23"/>
      <c r="AF35" s="23"/>
      <c r="AG35" s="23"/>
      <c r="AH35" s="558">
        <f>R35*X35</f>
        <v>21741.176470588238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7"/>
      <c r="S36" s="27"/>
      <c r="T36" s="25"/>
      <c r="U36" s="25"/>
      <c r="V36" s="25"/>
      <c r="W36" s="165"/>
      <c r="X36" s="716">
        <f>SUM(X35:Y35)</f>
        <v>49.411764705882355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23061.176470588238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1285.8699999999999</v>
      </c>
      <c r="S38" s="548"/>
      <c r="T38" s="28" t="s">
        <v>71</v>
      </c>
      <c r="U38" s="28"/>
      <c r="V38" s="28"/>
      <c r="W38" s="549">
        <f>$W$27</f>
        <v>6.5758823529411776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7187.3703650000007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156</v>
      </c>
      <c r="AQ38" s="662"/>
      <c r="AR38" s="663">
        <f>AN38*AB41/1000</f>
        <v>0.48456661058823547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215</v>
      </c>
      <c r="S39" s="33">
        <f>IF(P39="夏季",料金単価!$D$3,料金単価!$E$3)</f>
        <v>13.49</v>
      </c>
      <c r="T39" s="148" t="s">
        <v>228</v>
      </c>
      <c r="U39" s="149">
        <f>$U$28</f>
        <v>7.29</v>
      </c>
      <c r="V39" s="148" t="s">
        <v>199</v>
      </c>
      <c r="W39" s="150">
        <f>$W$28</f>
        <v>3.45</v>
      </c>
      <c r="X39" s="151" t="s">
        <v>159</v>
      </c>
      <c r="Y39" s="24" t="s">
        <v>61</v>
      </c>
      <c r="Z39" s="151"/>
      <c r="AA39" s="32"/>
      <c r="AB39" s="702">
        <f>L$16+L$18+L$20</f>
        <v>1079.2129411764708</v>
      </c>
      <c r="AC39" s="702"/>
      <c r="AD39" s="24" t="s">
        <v>200</v>
      </c>
      <c r="AE39" s="24"/>
      <c r="AF39" s="24"/>
      <c r="AG39" s="152"/>
      <c r="AH39" s="648">
        <f>(S39+U39+W39)*AB39</f>
        <v>26149.329564705888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153"/>
      <c r="J40" s="154"/>
      <c r="K40" s="154"/>
      <c r="L40" s="155"/>
      <c r="M40" s="155"/>
      <c r="N40" s="155"/>
      <c r="O40" s="155"/>
      <c r="P40" s="155"/>
      <c r="Q40" s="1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162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7"/>
      <c r="S41" s="27"/>
      <c r="T41" s="25"/>
      <c r="U41" s="25"/>
      <c r="V41" s="25"/>
      <c r="W41" s="165"/>
      <c r="X41" s="166"/>
      <c r="Y41" s="166"/>
      <c r="Z41" s="167"/>
      <c r="AA41" s="168"/>
      <c r="AB41" s="711">
        <f>SUM(AB39:AC39)</f>
        <v>1079.2129411764708</v>
      </c>
      <c r="AC41" s="711"/>
      <c r="AD41" s="169" t="s">
        <v>57</v>
      </c>
      <c r="AE41" s="25"/>
      <c r="AF41" s="25"/>
      <c r="AG41" s="25"/>
      <c r="AH41" s="712">
        <f>SUM(AH38:AK39)</f>
        <v>33336.699929705886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161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53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179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117.09</v>
      </c>
      <c r="T43" s="556"/>
      <c r="U43" s="23" t="s">
        <v>48</v>
      </c>
      <c r="V43" s="172" t="s">
        <v>216</v>
      </c>
      <c r="W43" s="173">
        <f>W32</f>
        <v>14.55</v>
      </c>
      <c r="X43" s="174" t="s">
        <v>187</v>
      </c>
      <c r="Y43" s="155" t="s">
        <v>194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7"/>
      <c r="S44" s="27"/>
      <c r="T44" s="25"/>
      <c r="U44" s="25"/>
      <c r="V44" s="25"/>
      <c r="W44" s="165"/>
      <c r="X44" s="166"/>
      <c r="Y44" s="166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168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53" t="s">
        <v>51</v>
      </c>
      <c r="AD45" s="28"/>
      <c r="AE45" s="28"/>
      <c r="AF45" s="28"/>
      <c r="AG45" s="28"/>
      <c r="AH45" s="640">
        <f>IF(AH33+AH34=0,0,R45*AB45)</f>
        <v>1320</v>
      </c>
      <c r="AI45" s="641"/>
      <c r="AJ45" s="641"/>
      <c r="AK45" s="642"/>
      <c r="AL45" s="617" t="s">
        <v>196</v>
      </c>
      <c r="AM45" s="618"/>
      <c r="AN45" s="594">
        <f>AN34</f>
        <v>6</v>
      </c>
      <c r="AO45" s="595"/>
      <c r="AP45" s="613" t="s">
        <v>189</v>
      </c>
      <c r="AQ45" s="614"/>
      <c r="AR45" s="625">
        <f>AN45*X47/1000</f>
        <v>0.8301176470588234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138.35294117647058</v>
      </c>
      <c r="Y46" s="644"/>
      <c r="Z46" s="23" t="s">
        <v>195</v>
      </c>
      <c r="AA46" s="23"/>
      <c r="AB46" s="23"/>
      <c r="AC46" s="24"/>
      <c r="AD46" s="23"/>
      <c r="AE46" s="23"/>
      <c r="AF46" s="23"/>
      <c r="AG46" s="23"/>
      <c r="AH46" s="558">
        <f>R46*X46</f>
        <v>60875.294117647056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7"/>
      <c r="S47" s="27"/>
      <c r="T47" s="25"/>
      <c r="U47" s="25"/>
      <c r="V47" s="25"/>
      <c r="W47" s="165"/>
      <c r="X47" s="716">
        <f>SUM(X46:Y46)</f>
        <v>138.35294117647058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62195.294117647056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1285.8699999999999</v>
      </c>
      <c r="S49" s="548"/>
      <c r="T49" s="28" t="s">
        <v>71</v>
      </c>
      <c r="U49" s="28"/>
      <c r="V49" s="28"/>
      <c r="W49" s="549">
        <f>$W$27</f>
        <v>6.5758823529411776</v>
      </c>
      <c r="X49" s="549"/>
      <c r="Y49" s="28" t="s">
        <v>225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7187.3703650000007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181</v>
      </c>
      <c r="AQ49" s="662"/>
      <c r="AR49" s="663">
        <f>AN49*AB52/1000</f>
        <v>0.5645240023529412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183</v>
      </c>
      <c r="U50" s="149">
        <f>$U$28</f>
        <v>7.29</v>
      </c>
      <c r="V50" s="148" t="s">
        <v>158</v>
      </c>
      <c r="W50" s="150">
        <f>$W$28</f>
        <v>3.45</v>
      </c>
      <c r="X50" s="151" t="s">
        <v>229</v>
      </c>
      <c r="Y50" s="24" t="s">
        <v>61</v>
      </c>
      <c r="Z50" s="151"/>
      <c r="AA50" s="32"/>
      <c r="AB50" s="702">
        <f>N$16+N$18+N$20</f>
        <v>1257.2917647058825</v>
      </c>
      <c r="AC50" s="702"/>
      <c r="AD50" s="24" t="s">
        <v>211</v>
      </c>
      <c r="AE50" s="24"/>
      <c r="AF50" s="24"/>
      <c r="AG50" s="152"/>
      <c r="AH50" s="648">
        <f>(S50+U50+W50)*AB50</f>
        <v>30464.179458823535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153"/>
      <c r="J51" s="154"/>
      <c r="K51" s="154"/>
      <c r="L51" s="155"/>
      <c r="M51" s="155"/>
      <c r="N51" s="155"/>
      <c r="O51" s="155"/>
      <c r="P51" s="155"/>
      <c r="Q51" s="1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162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7"/>
      <c r="S52" s="27"/>
      <c r="T52" s="25"/>
      <c r="U52" s="25"/>
      <c r="V52" s="25"/>
      <c r="W52" s="165"/>
      <c r="X52" s="166"/>
      <c r="Y52" s="166"/>
      <c r="Z52" s="167"/>
      <c r="AA52" s="168"/>
      <c r="AB52" s="711">
        <f>SUM(AB50:AC50)</f>
        <v>1257.2917647058825</v>
      </c>
      <c r="AC52" s="711"/>
      <c r="AD52" s="169" t="s">
        <v>57</v>
      </c>
      <c r="AE52" s="25"/>
      <c r="AF52" s="25"/>
      <c r="AG52" s="25"/>
      <c r="AH52" s="712">
        <f>SUM(AH49:AK50)</f>
        <v>37651.549823823538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226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53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179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226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117.09</v>
      </c>
      <c r="T54" s="556"/>
      <c r="U54" s="23" t="s">
        <v>48</v>
      </c>
      <c r="V54" s="172" t="s">
        <v>227</v>
      </c>
      <c r="W54" s="173">
        <f>W43</f>
        <v>14.55</v>
      </c>
      <c r="X54" s="174" t="s">
        <v>187</v>
      </c>
      <c r="Y54" s="155" t="s">
        <v>166</v>
      </c>
      <c r="Z54" s="665">
        <f>IF('様式11-5'!U$1="LPG",0,N$22)</f>
        <v>0</v>
      </c>
      <c r="AA54" s="665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7"/>
      <c r="S55" s="27"/>
      <c r="T55" s="25"/>
      <c r="U55" s="25"/>
      <c r="V55" s="25"/>
      <c r="W55" s="165"/>
      <c r="X55" s="166"/>
      <c r="Y55" s="166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178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53" t="s">
        <v>51</v>
      </c>
      <c r="AD56" s="28"/>
      <c r="AE56" s="28"/>
      <c r="AF56" s="28"/>
      <c r="AG56" s="28"/>
      <c r="AH56" s="640">
        <f>IF(AH44+AH45=0,0,R56*AB56)</f>
        <v>1320</v>
      </c>
      <c r="AI56" s="641"/>
      <c r="AJ56" s="641"/>
      <c r="AK56" s="642"/>
      <c r="AL56" s="617" t="s">
        <v>178</v>
      </c>
      <c r="AM56" s="618"/>
      <c r="AN56" s="594">
        <f>AN45</f>
        <v>6</v>
      </c>
      <c r="AO56" s="595"/>
      <c r="AP56" s="613" t="s">
        <v>179</v>
      </c>
      <c r="AQ56" s="614"/>
      <c r="AR56" s="625">
        <f>AN56*X58/1000</f>
        <v>0.99388235294117655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165.64705882352942</v>
      </c>
      <c r="Y57" s="644"/>
      <c r="Z57" s="23" t="s">
        <v>167</v>
      </c>
      <c r="AA57" s="23"/>
      <c r="AB57" s="23"/>
      <c r="AC57" s="24"/>
      <c r="AD57" s="23"/>
      <c r="AE57" s="23"/>
      <c r="AF57" s="23"/>
      <c r="AG57" s="23"/>
      <c r="AH57" s="558">
        <f>R57*X57</f>
        <v>72884.705882352951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7"/>
      <c r="S58" s="27"/>
      <c r="T58" s="25"/>
      <c r="U58" s="25"/>
      <c r="V58" s="25"/>
      <c r="W58" s="165"/>
      <c r="X58" s="716">
        <f>SUM(X57:Y57)</f>
        <v>165.64705882352942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74204.705882352951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1285.8699999999999</v>
      </c>
      <c r="S60" s="548"/>
      <c r="T60" s="28" t="s">
        <v>71</v>
      </c>
      <c r="U60" s="28"/>
      <c r="V60" s="28"/>
      <c r="W60" s="549">
        <f>$W$27</f>
        <v>6.5758823529411776</v>
      </c>
      <c r="X60" s="549"/>
      <c r="Y60" s="28" t="s">
        <v>225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7187.3703650000007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230</v>
      </c>
      <c r="AQ60" s="662"/>
      <c r="AR60" s="663">
        <f>AN60*AB63/1000</f>
        <v>0.24653533529411772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182</v>
      </c>
      <c r="S61" s="33">
        <f>IF(P61="夏季",料金単価!$D$3,料金単価!$E$3)</f>
        <v>13.49</v>
      </c>
      <c r="T61" s="148" t="s">
        <v>183</v>
      </c>
      <c r="U61" s="149">
        <f>$U$28</f>
        <v>7.29</v>
      </c>
      <c r="V61" s="148" t="s">
        <v>158</v>
      </c>
      <c r="W61" s="150">
        <f>$W$28</f>
        <v>3.45</v>
      </c>
      <c r="X61" s="151" t="s">
        <v>159</v>
      </c>
      <c r="Y61" s="24" t="s">
        <v>61</v>
      </c>
      <c r="Z61" s="151"/>
      <c r="AA61" s="32"/>
      <c r="AB61" s="702">
        <f>P$16+P$18+P$20</f>
        <v>549.07647058823545</v>
      </c>
      <c r="AC61" s="702"/>
      <c r="AD61" s="24" t="s">
        <v>160</v>
      </c>
      <c r="AE61" s="24"/>
      <c r="AF61" s="24"/>
      <c r="AG61" s="152"/>
      <c r="AH61" s="648">
        <f>(S61+U61+W61)*AB61</f>
        <v>13304.122882352945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153"/>
      <c r="J62" s="154"/>
      <c r="K62" s="154"/>
      <c r="L62" s="155"/>
      <c r="M62" s="155"/>
      <c r="N62" s="155"/>
      <c r="O62" s="155"/>
      <c r="P62" s="155"/>
      <c r="Q62" s="1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162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7"/>
      <c r="S63" s="27"/>
      <c r="T63" s="25"/>
      <c r="U63" s="25"/>
      <c r="V63" s="25"/>
      <c r="W63" s="165"/>
      <c r="X63" s="166"/>
      <c r="Y63" s="166"/>
      <c r="Z63" s="167"/>
      <c r="AA63" s="168"/>
      <c r="AB63" s="711">
        <f>SUM(AB61:AC61)</f>
        <v>549.07647058823545</v>
      </c>
      <c r="AC63" s="711"/>
      <c r="AD63" s="169" t="s">
        <v>57</v>
      </c>
      <c r="AE63" s="25"/>
      <c r="AF63" s="25"/>
      <c r="AG63" s="25"/>
      <c r="AH63" s="712">
        <f>SUM(AH60:AK61)</f>
        <v>20491.493247352948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226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53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189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226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227</v>
      </c>
      <c r="W65" s="173">
        <f>W54</f>
        <v>14.55</v>
      </c>
      <c r="X65" s="174" t="s">
        <v>207</v>
      </c>
      <c r="Y65" s="155" t="s">
        <v>175</v>
      </c>
      <c r="Z65" s="719">
        <f>IF('様式11-5'!U$1="LPG",0,P$22)</f>
        <v>0</v>
      </c>
      <c r="AA65" s="719"/>
      <c r="AB65" s="23" t="s">
        <v>167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7"/>
      <c r="S66" s="27"/>
      <c r="T66" s="25"/>
      <c r="U66" s="25"/>
      <c r="V66" s="25"/>
      <c r="W66" s="165"/>
      <c r="X66" s="166"/>
      <c r="Y66" s="166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178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53" t="s">
        <v>51</v>
      </c>
      <c r="AD67" s="28"/>
      <c r="AE67" s="28"/>
      <c r="AF67" s="28"/>
      <c r="AG67" s="28"/>
      <c r="AH67" s="640">
        <f>IF(AH55+AH56=0,0,R67*AB67)</f>
        <v>1320</v>
      </c>
      <c r="AI67" s="641"/>
      <c r="AJ67" s="641"/>
      <c r="AK67" s="642"/>
      <c r="AL67" s="617" t="s">
        <v>178</v>
      </c>
      <c r="AM67" s="618"/>
      <c r="AN67" s="594">
        <f>AN34</f>
        <v>6</v>
      </c>
      <c r="AO67" s="595"/>
      <c r="AP67" s="613" t="s">
        <v>179</v>
      </c>
      <c r="AQ67" s="614"/>
      <c r="AR67" s="625">
        <f>AN67*X69/1000</f>
        <v>0.36705882352941172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61.17647058823529</v>
      </c>
      <c r="Y68" s="644"/>
      <c r="Z68" s="23" t="s">
        <v>167</v>
      </c>
      <c r="AA68" s="23"/>
      <c r="AB68" s="23"/>
      <c r="AC68" s="24"/>
      <c r="AD68" s="23"/>
      <c r="AE68" s="23"/>
      <c r="AF68" s="23"/>
      <c r="AG68" s="23"/>
      <c r="AH68" s="558">
        <f>R68*X68</f>
        <v>26917.647058823528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7"/>
      <c r="S69" s="27"/>
      <c r="T69" s="25"/>
      <c r="U69" s="25"/>
      <c r="V69" s="25"/>
      <c r="W69" s="165"/>
      <c r="X69" s="716">
        <f>SUM(X68:Y68)</f>
        <v>61.17647058823529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28237.647058823528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1285.8699999999999</v>
      </c>
      <c r="S71" s="548"/>
      <c r="T71" s="28" t="s">
        <v>71</v>
      </c>
      <c r="U71" s="28"/>
      <c r="V71" s="28"/>
      <c r="W71" s="549">
        <f>$W$27</f>
        <v>6.5758823529411776</v>
      </c>
      <c r="X71" s="549"/>
      <c r="Y71" s="28" t="s">
        <v>171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7187.3703650000007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202</v>
      </c>
      <c r="AQ71" s="662"/>
      <c r="AR71" s="663">
        <f>AN71*AB74/1000</f>
        <v>4.7160847058823542E-2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204</v>
      </c>
      <c r="Q72" s="646"/>
      <c r="R72" s="34" t="s">
        <v>198</v>
      </c>
      <c r="S72" s="33">
        <f>IF(P72="夏季",料金単価!$D$3,料金単価!$E$3)</f>
        <v>12.63</v>
      </c>
      <c r="T72" s="148" t="s">
        <v>199</v>
      </c>
      <c r="U72" s="149">
        <f>$U$28</f>
        <v>7.29</v>
      </c>
      <c r="V72" s="148" t="s">
        <v>199</v>
      </c>
      <c r="W72" s="150">
        <f>$W$28</f>
        <v>3.45</v>
      </c>
      <c r="X72" s="151" t="s">
        <v>172</v>
      </c>
      <c r="Y72" s="24" t="s">
        <v>61</v>
      </c>
      <c r="Z72" s="151"/>
      <c r="AA72" s="32"/>
      <c r="AB72" s="702">
        <f>R$17+R$19+R$21</f>
        <v>105.03529411764708</v>
      </c>
      <c r="AC72" s="702"/>
      <c r="AD72" s="24" t="s">
        <v>200</v>
      </c>
      <c r="AE72" s="24"/>
      <c r="AF72" s="24"/>
      <c r="AG72" s="152"/>
      <c r="AH72" s="648">
        <f>(S72+U72+W72)*AB72</f>
        <v>2454.6748235294126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153"/>
      <c r="J73" s="154"/>
      <c r="K73" s="154"/>
      <c r="L73" s="155"/>
      <c r="M73" s="155"/>
      <c r="N73" s="155"/>
      <c r="O73" s="155"/>
      <c r="P73" s="155"/>
      <c r="Q73" s="1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162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7"/>
      <c r="S74" s="27"/>
      <c r="T74" s="25"/>
      <c r="U74" s="25"/>
      <c r="V74" s="25"/>
      <c r="W74" s="165"/>
      <c r="X74" s="166"/>
      <c r="Y74" s="166"/>
      <c r="Z74" s="167"/>
      <c r="AA74" s="168"/>
      <c r="AB74" s="711">
        <f>SUM(AB72:AC72)</f>
        <v>105.03529411764708</v>
      </c>
      <c r="AC74" s="711"/>
      <c r="AD74" s="169" t="s">
        <v>57</v>
      </c>
      <c r="AE74" s="25"/>
      <c r="AF74" s="25"/>
      <c r="AG74" s="25"/>
      <c r="AH74" s="712">
        <f>SUM(AH71:AK72)</f>
        <v>9642.0451885294133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161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53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192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161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193</v>
      </c>
      <c r="W76" s="173">
        <f>W65</f>
        <v>14.55</v>
      </c>
      <c r="X76" s="174" t="s">
        <v>165</v>
      </c>
      <c r="Y76" s="155" t="s">
        <v>194</v>
      </c>
      <c r="Z76" s="665">
        <f>IF('様式11-5'!U$1="LPG",0,R$22)</f>
        <v>0</v>
      </c>
      <c r="AA76" s="665"/>
      <c r="AB76" s="23" t="s">
        <v>195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7"/>
      <c r="S77" s="27"/>
      <c r="T77" s="25"/>
      <c r="U77" s="25"/>
      <c r="V77" s="25"/>
      <c r="W77" s="165"/>
      <c r="X77" s="166"/>
      <c r="Y77" s="166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196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53" t="s">
        <v>51</v>
      </c>
      <c r="AD78" s="28"/>
      <c r="AE78" s="28"/>
      <c r="AF78" s="28"/>
      <c r="AG78" s="28"/>
      <c r="AH78" s="640">
        <f>IF(AH66+AH67=0,0,R78*AB78)</f>
        <v>1320</v>
      </c>
      <c r="AI78" s="641"/>
      <c r="AJ78" s="641"/>
      <c r="AK78" s="642"/>
      <c r="AL78" s="617" t="s">
        <v>196</v>
      </c>
      <c r="AM78" s="618"/>
      <c r="AN78" s="594">
        <f>AN45</f>
        <v>6</v>
      </c>
      <c r="AO78" s="595"/>
      <c r="AP78" s="613" t="s">
        <v>192</v>
      </c>
      <c r="AQ78" s="614"/>
      <c r="AR78" s="625">
        <f>AN78*X80/1000</f>
        <v>0.36705882352941172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61.17647058823529</v>
      </c>
      <c r="Y79" s="644"/>
      <c r="Z79" s="23" t="s">
        <v>195</v>
      </c>
      <c r="AA79" s="23"/>
      <c r="AB79" s="23"/>
      <c r="AC79" s="24"/>
      <c r="AD79" s="23"/>
      <c r="AE79" s="23"/>
      <c r="AF79" s="23"/>
      <c r="AG79" s="23"/>
      <c r="AH79" s="558">
        <f>R79*X79</f>
        <v>26917.647058823528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7"/>
      <c r="S80" s="27"/>
      <c r="T80" s="25"/>
      <c r="U80" s="25"/>
      <c r="V80" s="25"/>
      <c r="W80" s="165"/>
      <c r="X80" s="716">
        <f>SUM(X79:Y79)</f>
        <v>61.17647058823529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28237.647058823528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1285.8699999999999</v>
      </c>
      <c r="S82" s="548"/>
      <c r="T82" s="28" t="s">
        <v>71</v>
      </c>
      <c r="U82" s="28"/>
      <c r="V82" s="28"/>
      <c r="W82" s="549">
        <f>$W$27</f>
        <v>6.5758823529411776</v>
      </c>
      <c r="X82" s="549"/>
      <c r="Y82" s="28" t="s">
        <v>155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7187.3703650000007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202</v>
      </c>
      <c r="AQ82" s="662"/>
      <c r="AR82" s="663">
        <f>AN82*AB85/1000</f>
        <v>4.5639529411764718E-2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205</v>
      </c>
      <c r="M83" s="618"/>
      <c r="N83" s="618"/>
      <c r="O83" s="678"/>
      <c r="P83" s="643" t="s">
        <v>204</v>
      </c>
      <c r="Q83" s="646"/>
      <c r="R83" s="34" t="s">
        <v>198</v>
      </c>
      <c r="S83" s="33">
        <f>IF(P83="夏季",料金単価!$D$3,料金単価!$E$3)</f>
        <v>12.63</v>
      </c>
      <c r="T83" s="148" t="s">
        <v>199</v>
      </c>
      <c r="U83" s="149">
        <f>$U$28</f>
        <v>7.29</v>
      </c>
      <c r="V83" s="148" t="s">
        <v>199</v>
      </c>
      <c r="W83" s="150">
        <f>$W$28</f>
        <v>3.45</v>
      </c>
      <c r="X83" s="151" t="s">
        <v>190</v>
      </c>
      <c r="Y83" s="24" t="s">
        <v>61</v>
      </c>
      <c r="Z83" s="151"/>
      <c r="AA83" s="32"/>
      <c r="AB83" s="702">
        <f>T$17+T$19+T$21</f>
        <v>101.64705882352943</v>
      </c>
      <c r="AC83" s="702"/>
      <c r="AD83" s="24" t="s">
        <v>200</v>
      </c>
      <c r="AE83" s="24"/>
      <c r="AF83" s="24"/>
      <c r="AG83" s="152"/>
      <c r="AH83" s="648">
        <f>(S83+U83+W83)*AB83</f>
        <v>2375.4917647058828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153"/>
      <c r="J84" s="154"/>
      <c r="K84" s="154"/>
      <c r="L84" s="155"/>
      <c r="M84" s="155"/>
      <c r="N84" s="155"/>
      <c r="O84" s="155"/>
      <c r="P84" s="155"/>
      <c r="Q84" s="1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162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7"/>
      <c r="S85" s="27"/>
      <c r="T85" s="25"/>
      <c r="U85" s="25"/>
      <c r="V85" s="25"/>
      <c r="W85" s="165"/>
      <c r="X85" s="166"/>
      <c r="Y85" s="166"/>
      <c r="Z85" s="167"/>
      <c r="AA85" s="168"/>
      <c r="AB85" s="711">
        <f>SUM(AB83:AC83)</f>
        <v>101.64705882352943</v>
      </c>
      <c r="AC85" s="711"/>
      <c r="AD85" s="169" t="s">
        <v>57</v>
      </c>
      <c r="AE85" s="25"/>
      <c r="AF85" s="25"/>
      <c r="AG85" s="25"/>
      <c r="AH85" s="712">
        <f>SUM(AH82:AK83)</f>
        <v>9562.8621297058835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161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53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192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161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193</v>
      </c>
      <c r="W87" s="173">
        <f>W76</f>
        <v>14.55</v>
      </c>
      <c r="X87" s="174" t="s">
        <v>165</v>
      </c>
      <c r="Y87" s="155" t="s">
        <v>201</v>
      </c>
      <c r="Z87" s="665">
        <f>IF('様式11-5'!U$1="LPG",0,T$22)</f>
        <v>0</v>
      </c>
      <c r="AA87" s="665"/>
      <c r="AB87" s="23" t="s">
        <v>195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7"/>
      <c r="S88" s="27"/>
      <c r="T88" s="25"/>
      <c r="U88" s="25"/>
      <c r="V88" s="25"/>
      <c r="W88" s="165"/>
      <c r="X88" s="166"/>
      <c r="Y88" s="166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196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53" t="s">
        <v>51</v>
      </c>
      <c r="AD89" s="28"/>
      <c r="AE89" s="28"/>
      <c r="AF89" s="28"/>
      <c r="AG89" s="28"/>
      <c r="AH89" s="640">
        <f>IF(AH77+AH78=0,0,R89*AB89)</f>
        <v>1320</v>
      </c>
      <c r="AI89" s="641"/>
      <c r="AJ89" s="641"/>
      <c r="AK89" s="642"/>
      <c r="AL89" s="617" t="s">
        <v>168</v>
      </c>
      <c r="AM89" s="618"/>
      <c r="AN89" s="594">
        <f>AN56</f>
        <v>6</v>
      </c>
      <c r="AO89" s="595"/>
      <c r="AP89" s="613" t="s">
        <v>169</v>
      </c>
      <c r="AQ89" s="614"/>
      <c r="AR89" s="625">
        <f>AN89*X91/1000</f>
        <v>0.36705882352941172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61.17647058823529</v>
      </c>
      <c r="Y90" s="644"/>
      <c r="Z90" s="23" t="s">
        <v>195</v>
      </c>
      <c r="AA90" s="23"/>
      <c r="AB90" s="23"/>
      <c r="AC90" s="24"/>
      <c r="AD90" s="23"/>
      <c r="AE90" s="23"/>
      <c r="AF90" s="23"/>
      <c r="AG90" s="23"/>
      <c r="AH90" s="558">
        <f>R90*X90</f>
        <v>26917.647058823528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7"/>
      <c r="S91" s="27"/>
      <c r="T91" s="25"/>
      <c r="U91" s="25"/>
      <c r="V91" s="25"/>
      <c r="W91" s="165"/>
      <c r="X91" s="716">
        <f>SUM(X90:Y90)</f>
        <v>61.17647058823529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28237.647058823528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1285.8699999999999</v>
      </c>
      <c r="S93" s="548"/>
      <c r="T93" s="28" t="s">
        <v>71</v>
      </c>
      <c r="U93" s="28"/>
      <c r="V93" s="28"/>
      <c r="W93" s="549">
        <f>$W$27</f>
        <v>6.5758823529411776</v>
      </c>
      <c r="X93" s="549"/>
      <c r="Y93" s="28" t="s">
        <v>155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7187.3703650000007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202</v>
      </c>
      <c r="AQ93" s="662"/>
      <c r="AR93" s="663">
        <f>AN93*AB96/1000</f>
        <v>1.6004156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205</v>
      </c>
      <c r="M94" s="618"/>
      <c r="N94" s="618"/>
      <c r="O94" s="678"/>
      <c r="P94" s="643" t="s">
        <v>204</v>
      </c>
      <c r="Q94" s="646"/>
      <c r="R94" s="34" t="s">
        <v>215</v>
      </c>
      <c r="S94" s="33">
        <f>IF(P94="夏季",料金単価!$D$3,料金単価!$E$3)</f>
        <v>12.63</v>
      </c>
      <c r="T94" s="148" t="s">
        <v>183</v>
      </c>
      <c r="U94" s="149">
        <f>$U$28</f>
        <v>7.29</v>
      </c>
      <c r="V94" s="148" t="s">
        <v>199</v>
      </c>
      <c r="W94" s="150">
        <f>$W$28</f>
        <v>3.45</v>
      </c>
      <c r="X94" s="151" t="s">
        <v>172</v>
      </c>
      <c r="Y94" s="24" t="s">
        <v>61</v>
      </c>
      <c r="Z94" s="151"/>
      <c r="AA94" s="32"/>
      <c r="AB94" s="702">
        <f>V$17+V$19+V$21</f>
        <v>3564.4</v>
      </c>
      <c r="AC94" s="702"/>
      <c r="AD94" s="24" t="s">
        <v>200</v>
      </c>
      <c r="AE94" s="24"/>
      <c r="AF94" s="24"/>
      <c r="AG94" s="152"/>
      <c r="AH94" s="648">
        <f>(S94+U94+W94)*AB94</f>
        <v>83300.028000000006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153"/>
      <c r="J95" s="154"/>
      <c r="K95" s="154"/>
      <c r="L95" s="155"/>
      <c r="M95" s="155"/>
      <c r="N95" s="155"/>
      <c r="O95" s="155"/>
      <c r="P95" s="155"/>
      <c r="Q95" s="1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162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7"/>
      <c r="S96" s="27"/>
      <c r="T96" s="25"/>
      <c r="U96" s="25"/>
      <c r="V96" s="25"/>
      <c r="W96" s="165"/>
      <c r="X96" s="166"/>
      <c r="Y96" s="166"/>
      <c r="Z96" s="167"/>
      <c r="AA96" s="168"/>
      <c r="AB96" s="711">
        <f>SUM(AB94:AC94)</f>
        <v>3564.4</v>
      </c>
      <c r="AC96" s="711"/>
      <c r="AD96" s="169" t="s">
        <v>57</v>
      </c>
      <c r="AE96" s="25"/>
      <c r="AF96" s="25"/>
      <c r="AG96" s="25"/>
      <c r="AH96" s="712">
        <f>SUM(AH93:AK94)</f>
        <v>90487.398365000001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161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53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169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186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216</v>
      </c>
      <c r="W98" s="173">
        <f>W87</f>
        <v>14.55</v>
      </c>
      <c r="X98" s="174" t="s">
        <v>207</v>
      </c>
      <c r="Y98" s="155" t="s">
        <v>194</v>
      </c>
      <c r="Z98" s="665">
        <f>IF('様式11-5'!U$1="LPG",0,V$23)</f>
        <v>0</v>
      </c>
      <c r="AA98" s="665"/>
      <c r="AB98" s="23" t="s">
        <v>195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7"/>
      <c r="S99" s="27"/>
      <c r="T99" s="25"/>
      <c r="U99" s="25"/>
      <c r="V99" s="25"/>
      <c r="W99" s="165"/>
      <c r="X99" s="166"/>
      <c r="Y99" s="166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196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53" t="s">
        <v>51</v>
      </c>
      <c r="AD100" s="28"/>
      <c r="AE100" s="28"/>
      <c r="AF100" s="28"/>
      <c r="AG100" s="28"/>
      <c r="AH100" s="640">
        <f>IF(AH88+AH89=0,0,R100*AB100)</f>
        <v>1320</v>
      </c>
      <c r="AI100" s="641"/>
      <c r="AJ100" s="641"/>
      <c r="AK100" s="642"/>
      <c r="AL100" s="617" t="s">
        <v>177</v>
      </c>
      <c r="AM100" s="618"/>
      <c r="AN100" s="594">
        <f>AN34</f>
        <v>6</v>
      </c>
      <c r="AO100" s="595"/>
      <c r="AP100" s="613" t="s">
        <v>169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170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7"/>
      <c r="S102" s="27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1320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1285.8699999999999</v>
      </c>
      <c r="S104" s="548"/>
      <c r="T104" s="28" t="s">
        <v>71</v>
      </c>
      <c r="U104" s="28"/>
      <c r="V104" s="28"/>
      <c r="W104" s="549">
        <f>$W$27</f>
        <v>6.5758823529411776</v>
      </c>
      <c r="X104" s="549"/>
      <c r="Y104" s="28" t="s">
        <v>171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7187.3703650000007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202</v>
      </c>
      <c r="AQ104" s="662"/>
      <c r="AR104" s="663">
        <f>AN104*AB107/1000</f>
        <v>2.0018538223529414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212</v>
      </c>
      <c r="M105" s="618"/>
      <c r="N105" s="618"/>
      <c r="O105" s="678"/>
      <c r="P105" s="643" t="s">
        <v>204</v>
      </c>
      <c r="Q105" s="646"/>
      <c r="R105" s="34" t="s">
        <v>182</v>
      </c>
      <c r="S105" s="33">
        <f>IF(P105="夏季",料金単価!$D$3,料金単価!$E$3)</f>
        <v>12.63</v>
      </c>
      <c r="T105" s="148" t="s">
        <v>199</v>
      </c>
      <c r="U105" s="149">
        <f>$U$28</f>
        <v>7.29</v>
      </c>
      <c r="V105" s="148" t="s">
        <v>183</v>
      </c>
      <c r="W105" s="150">
        <f>$W$28</f>
        <v>3.45</v>
      </c>
      <c r="X105" s="151" t="s">
        <v>190</v>
      </c>
      <c r="Y105" s="24" t="s">
        <v>61</v>
      </c>
      <c r="Z105" s="151"/>
      <c r="AA105" s="32"/>
      <c r="AB105" s="702">
        <f>X$17+X$19+X$21</f>
        <v>4458.4717647058824</v>
      </c>
      <c r="AC105" s="702"/>
      <c r="AD105" s="24" t="s">
        <v>191</v>
      </c>
      <c r="AE105" s="24"/>
      <c r="AF105" s="24"/>
      <c r="AG105" s="152"/>
      <c r="AH105" s="648">
        <f>(S105+U105+W105)*AB105</f>
        <v>104194.48514117647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153"/>
      <c r="J106" s="154"/>
      <c r="K106" s="154"/>
      <c r="L106" s="155"/>
      <c r="M106" s="155"/>
      <c r="N106" s="155"/>
      <c r="O106" s="155"/>
      <c r="P106" s="155"/>
      <c r="Q106" s="1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162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7"/>
      <c r="S107" s="27"/>
      <c r="T107" s="25"/>
      <c r="U107" s="25"/>
      <c r="V107" s="25"/>
      <c r="W107" s="165"/>
      <c r="X107" s="166"/>
      <c r="Y107" s="166"/>
      <c r="Z107" s="167"/>
      <c r="AA107" s="168"/>
      <c r="AB107" s="711">
        <f>SUM(AB105:AC105)</f>
        <v>4458.4717647058824</v>
      </c>
      <c r="AC107" s="711"/>
      <c r="AD107" s="169" t="s">
        <v>57</v>
      </c>
      <c r="AE107" s="25"/>
      <c r="AF107" s="25"/>
      <c r="AG107" s="25"/>
      <c r="AH107" s="712">
        <f>SUM(AH104:AK105)</f>
        <v>111381.85550617646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163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53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169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206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173</v>
      </c>
      <c r="W109" s="173">
        <f>W98</f>
        <v>14.55</v>
      </c>
      <c r="X109" s="174" t="s">
        <v>231</v>
      </c>
      <c r="Y109" s="155" t="s">
        <v>208</v>
      </c>
      <c r="Z109" s="665">
        <f>IF('様式11-5'!U$1="LPG",0,X$23)</f>
        <v>0</v>
      </c>
      <c r="AA109" s="665"/>
      <c r="AB109" s="23" t="s">
        <v>170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7"/>
      <c r="S110" s="27"/>
      <c r="T110" s="25"/>
      <c r="U110" s="25"/>
      <c r="V110" s="25"/>
      <c r="W110" s="165"/>
      <c r="X110" s="166"/>
      <c r="Y110" s="166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188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53" t="s">
        <v>51</v>
      </c>
      <c r="AD111" s="28"/>
      <c r="AE111" s="28"/>
      <c r="AF111" s="28"/>
      <c r="AG111" s="28"/>
      <c r="AH111" s="640">
        <f>IF(AH99+AH100=0,0,R111*AB111)</f>
        <v>1320</v>
      </c>
      <c r="AI111" s="641"/>
      <c r="AJ111" s="641"/>
      <c r="AK111" s="642"/>
      <c r="AL111" s="617" t="s">
        <v>196</v>
      </c>
      <c r="AM111" s="618"/>
      <c r="AN111" s="594">
        <f>AN34</f>
        <v>6</v>
      </c>
      <c r="AO111" s="595"/>
      <c r="AP111" s="613" t="s">
        <v>192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195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7"/>
      <c r="S113" s="27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1320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1285.8699999999999</v>
      </c>
      <c r="S115" s="548"/>
      <c r="T115" s="28" t="s">
        <v>71</v>
      </c>
      <c r="U115" s="28"/>
      <c r="V115" s="28"/>
      <c r="W115" s="549">
        <f>$W$27</f>
        <v>6.5758823529411776</v>
      </c>
      <c r="X115" s="549"/>
      <c r="Y115" s="28" t="s">
        <v>171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7187.3703650000007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202</v>
      </c>
      <c r="AQ115" s="662"/>
      <c r="AR115" s="663">
        <f>AN115*AB118/1000</f>
        <v>1.8944112917647056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205</v>
      </c>
      <c r="M116" s="618"/>
      <c r="N116" s="618"/>
      <c r="O116" s="678"/>
      <c r="P116" s="643" t="s">
        <v>204</v>
      </c>
      <c r="Q116" s="646"/>
      <c r="R116" s="34" t="s">
        <v>198</v>
      </c>
      <c r="S116" s="33">
        <f>IF(P116="夏季",料金単価!$D$3,料金単価!$E$3)</f>
        <v>12.63</v>
      </c>
      <c r="T116" s="148" t="s">
        <v>199</v>
      </c>
      <c r="U116" s="149">
        <f>$U$28</f>
        <v>7.29</v>
      </c>
      <c r="V116" s="148" t="s">
        <v>199</v>
      </c>
      <c r="W116" s="150">
        <f>$W$28</f>
        <v>3.45</v>
      </c>
      <c r="X116" s="151" t="s">
        <v>172</v>
      </c>
      <c r="Y116" s="24" t="s">
        <v>61</v>
      </c>
      <c r="Z116" s="151"/>
      <c r="AA116" s="32"/>
      <c r="AB116" s="702">
        <f>Z$17+Z$19+Z21</f>
        <v>4219.1788235294107</v>
      </c>
      <c r="AC116" s="702"/>
      <c r="AD116" s="24" t="s">
        <v>185</v>
      </c>
      <c r="AE116" s="24"/>
      <c r="AF116" s="24"/>
      <c r="AG116" s="152"/>
      <c r="AH116" s="648">
        <f>(S116+U116+W116)*AB116</f>
        <v>98602.209105882328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153"/>
      <c r="J117" s="154"/>
      <c r="K117" s="154"/>
      <c r="L117" s="155"/>
      <c r="M117" s="155"/>
      <c r="N117" s="155"/>
      <c r="O117" s="155"/>
      <c r="P117" s="155"/>
      <c r="Q117" s="1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162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7"/>
      <c r="S118" s="27"/>
      <c r="T118" s="25"/>
      <c r="U118" s="25"/>
      <c r="V118" s="25"/>
      <c r="W118" s="165"/>
      <c r="X118" s="166"/>
      <c r="Y118" s="166"/>
      <c r="Z118" s="167"/>
      <c r="AA118" s="168"/>
      <c r="AB118" s="711">
        <f>SUM(AB116:AC116)</f>
        <v>4219.1788235294107</v>
      </c>
      <c r="AC118" s="711"/>
      <c r="AD118" s="169" t="s">
        <v>57</v>
      </c>
      <c r="AE118" s="25"/>
      <c r="AF118" s="25"/>
      <c r="AG118" s="25"/>
      <c r="AH118" s="712">
        <f>SUM(AH115:AK116)</f>
        <v>105789.57947088232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161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53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169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161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193</v>
      </c>
      <c r="W120" s="173">
        <f>W109</f>
        <v>14.55</v>
      </c>
      <c r="X120" s="174" t="s">
        <v>165</v>
      </c>
      <c r="Y120" s="155" t="s">
        <v>208</v>
      </c>
      <c r="Z120" s="665">
        <f>IF('様式11-5'!U$1="LPG",0,Z$23)</f>
        <v>0</v>
      </c>
      <c r="AA120" s="665"/>
      <c r="AB120" s="23" t="s">
        <v>195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7"/>
      <c r="S121" s="27"/>
      <c r="T121" s="25"/>
      <c r="U121" s="25"/>
      <c r="V121" s="25"/>
      <c r="W121" s="165"/>
      <c r="X121" s="166"/>
      <c r="Y121" s="166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196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53" t="s">
        <v>51</v>
      </c>
      <c r="AD122" s="28"/>
      <c r="AE122" s="28"/>
      <c r="AF122" s="28"/>
      <c r="AG122" s="28"/>
      <c r="AH122" s="640">
        <f>IF(AH110+AH111=0,0,R122*AB122)</f>
        <v>1320</v>
      </c>
      <c r="AI122" s="641"/>
      <c r="AJ122" s="641"/>
      <c r="AK122" s="642"/>
      <c r="AL122" s="617" t="s">
        <v>188</v>
      </c>
      <c r="AM122" s="618"/>
      <c r="AN122" s="594">
        <f>AN34</f>
        <v>6</v>
      </c>
      <c r="AO122" s="595"/>
      <c r="AP122" s="613" t="s">
        <v>192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195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7"/>
      <c r="S124" s="27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1320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1285.8699999999999</v>
      </c>
      <c r="S126" s="548"/>
      <c r="T126" s="28" t="s">
        <v>71</v>
      </c>
      <c r="U126" s="28"/>
      <c r="V126" s="28"/>
      <c r="W126" s="549">
        <f>$W$27</f>
        <v>6.5758823529411776</v>
      </c>
      <c r="X126" s="549"/>
      <c r="Y126" s="28" t="s">
        <v>155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7187.3703650000007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202</v>
      </c>
      <c r="AQ126" s="662"/>
      <c r="AR126" s="663">
        <f>AN126*AB129/1000</f>
        <v>0.89909133411764697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212</v>
      </c>
      <c r="M127" s="618"/>
      <c r="N127" s="618"/>
      <c r="O127" s="678"/>
      <c r="P127" s="643" t="s">
        <v>197</v>
      </c>
      <c r="Q127" s="646"/>
      <c r="R127" s="34" t="s">
        <v>215</v>
      </c>
      <c r="S127" s="33">
        <f>IF(P127="夏季",料金単価!$D$3,料金単価!$E$3)</f>
        <v>12.63</v>
      </c>
      <c r="T127" s="148" t="s">
        <v>199</v>
      </c>
      <c r="U127" s="149">
        <f>$U$28</f>
        <v>7.29</v>
      </c>
      <c r="V127" s="148" t="s">
        <v>183</v>
      </c>
      <c r="W127" s="150">
        <f>$W$28</f>
        <v>3.45</v>
      </c>
      <c r="X127" s="151" t="s">
        <v>229</v>
      </c>
      <c r="Y127" s="24" t="s">
        <v>61</v>
      </c>
      <c r="Z127" s="151"/>
      <c r="AA127" s="32"/>
      <c r="AB127" s="702">
        <f>AB$17+AB$19+AB21</f>
        <v>2002.430588235294</v>
      </c>
      <c r="AC127" s="702"/>
      <c r="AD127" s="24" t="s">
        <v>200</v>
      </c>
      <c r="AE127" s="24"/>
      <c r="AF127" s="24"/>
      <c r="AG127" s="152"/>
      <c r="AH127" s="648">
        <f>(S127+U127+W127)*AB127</f>
        <v>46796.802847058825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153"/>
      <c r="J128" s="154"/>
      <c r="K128" s="154"/>
      <c r="L128" s="155"/>
      <c r="M128" s="155"/>
      <c r="N128" s="155"/>
      <c r="O128" s="155"/>
      <c r="P128" s="155"/>
      <c r="Q128" s="1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162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7"/>
      <c r="S129" s="27"/>
      <c r="T129" s="25"/>
      <c r="U129" s="25"/>
      <c r="V129" s="25"/>
      <c r="W129" s="165"/>
      <c r="X129" s="166"/>
      <c r="Y129" s="166"/>
      <c r="Z129" s="167"/>
      <c r="AA129" s="168"/>
      <c r="AB129" s="711">
        <f>SUM(AB127:AC127)</f>
        <v>2002.430588235294</v>
      </c>
      <c r="AC129" s="711"/>
      <c r="AD129" s="169" t="s">
        <v>57</v>
      </c>
      <c r="AE129" s="25"/>
      <c r="AF129" s="25"/>
      <c r="AG129" s="25"/>
      <c r="AH129" s="712">
        <f>SUM(AH126:AK127)</f>
        <v>53984.173212058828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206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53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192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161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173</v>
      </c>
      <c r="W131" s="173">
        <f>W120</f>
        <v>14.55</v>
      </c>
      <c r="X131" s="174" t="s">
        <v>231</v>
      </c>
      <c r="Y131" s="155" t="s">
        <v>194</v>
      </c>
      <c r="Z131" s="665">
        <f>IF('様式11-5'!U$1="LPG",0,AB$23)</f>
        <v>0</v>
      </c>
      <c r="AA131" s="665"/>
      <c r="AB131" s="23" t="s">
        <v>209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7"/>
      <c r="S132" s="27"/>
      <c r="T132" s="25"/>
      <c r="U132" s="25"/>
      <c r="V132" s="25"/>
      <c r="W132" s="165"/>
      <c r="X132" s="166"/>
      <c r="Y132" s="166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188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53" t="s">
        <v>51</v>
      </c>
      <c r="AD133" s="28"/>
      <c r="AE133" s="28"/>
      <c r="AF133" s="28"/>
      <c r="AG133" s="28"/>
      <c r="AH133" s="640">
        <f>IF(AH121+AH122=0,0,R133*AB133)</f>
        <v>1320</v>
      </c>
      <c r="AI133" s="641"/>
      <c r="AJ133" s="641"/>
      <c r="AK133" s="642"/>
      <c r="AL133" s="617" t="s">
        <v>196</v>
      </c>
      <c r="AM133" s="618"/>
      <c r="AN133" s="594">
        <f>AN34</f>
        <v>6</v>
      </c>
      <c r="AO133" s="595"/>
      <c r="AP133" s="613" t="s">
        <v>192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170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7"/>
      <c r="S135" s="27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1320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1285.8699999999999</v>
      </c>
      <c r="S137" s="548"/>
      <c r="T137" s="28" t="s">
        <v>71</v>
      </c>
      <c r="U137" s="28"/>
      <c r="V137" s="28"/>
      <c r="W137" s="549">
        <f>$W$27</f>
        <v>6.5758823529411776</v>
      </c>
      <c r="X137" s="549"/>
      <c r="Y137" s="28" t="s">
        <v>180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7187.3703650000007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181</v>
      </c>
      <c r="AQ137" s="662"/>
      <c r="AR137" s="663">
        <f>AN137*AB140/1000</f>
        <v>4.5639529411764718E-2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205</v>
      </c>
      <c r="M138" s="618"/>
      <c r="N138" s="618"/>
      <c r="O138" s="678"/>
      <c r="P138" s="643" t="s">
        <v>210</v>
      </c>
      <c r="Q138" s="646"/>
      <c r="R138" s="34" t="s">
        <v>198</v>
      </c>
      <c r="S138" s="33">
        <f>IF(P138="夏季",料金単価!$D$3,料金単価!$E$3)</f>
        <v>12.63</v>
      </c>
      <c r="T138" s="148" t="s">
        <v>199</v>
      </c>
      <c r="U138" s="149">
        <f>$U$28</f>
        <v>7.29</v>
      </c>
      <c r="V138" s="148" t="s">
        <v>183</v>
      </c>
      <c r="W138" s="150">
        <f>$W$28</f>
        <v>3.45</v>
      </c>
      <c r="X138" s="151" t="s">
        <v>229</v>
      </c>
      <c r="Y138" s="24" t="s">
        <v>61</v>
      </c>
      <c r="Z138" s="151"/>
      <c r="AA138" s="32"/>
      <c r="AB138" s="702">
        <f>AD$17+AD$19+AD$21</f>
        <v>101.64705882352943</v>
      </c>
      <c r="AC138" s="702"/>
      <c r="AD138" s="24" t="s">
        <v>200</v>
      </c>
      <c r="AE138" s="24"/>
      <c r="AF138" s="24"/>
      <c r="AG138" s="152"/>
      <c r="AH138" s="648">
        <f>(S138+U138+W138)*AB138</f>
        <v>2375.4917647058828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153"/>
      <c r="J139" s="154"/>
      <c r="K139" s="154"/>
      <c r="L139" s="155"/>
      <c r="M139" s="155"/>
      <c r="N139" s="155"/>
      <c r="O139" s="155"/>
      <c r="P139" s="155"/>
      <c r="Q139" s="1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162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7"/>
      <c r="S140" s="27"/>
      <c r="T140" s="25"/>
      <c r="U140" s="25"/>
      <c r="V140" s="25"/>
      <c r="W140" s="165"/>
      <c r="X140" s="166"/>
      <c r="Y140" s="166"/>
      <c r="Z140" s="167"/>
      <c r="AA140" s="168"/>
      <c r="AB140" s="711">
        <f>SUM(AB138:AC138)</f>
        <v>101.64705882352943</v>
      </c>
      <c r="AC140" s="711"/>
      <c r="AD140" s="169" t="s">
        <v>57</v>
      </c>
      <c r="AE140" s="25"/>
      <c r="AF140" s="25"/>
      <c r="AG140" s="25"/>
      <c r="AH140" s="712">
        <f>SUM(AH137:AK138)</f>
        <v>9562.8621297058835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186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53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162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163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173</v>
      </c>
      <c r="W142" s="173">
        <f>W131</f>
        <v>14.55</v>
      </c>
      <c r="X142" s="174" t="s">
        <v>165</v>
      </c>
      <c r="Y142" s="155" t="s">
        <v>175</v>
      </c>
      <c r="Z142" s="665">
        <f>IF('様式11-5'!U$1="LPG",0,AD$22)</f>
        <v>0</v>
      </c>
      <c r="AA142" s="665"/>
      <c r="AB142" s="23" t="s">
        <v>170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7"/>
      <c r="S143" s="27"/>
      <c r="T143" s="25"/>
      <c r="U143" s="25"/>
      <c r="V143" s="25"/>
      <c r="W143" s="165"/>
      <c r="X143" s="166"/>
      <c r="Y143" s="166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188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53" t="s">
        <v>51</v>
      </c>
      <c r="AD144" s="28"/>
      <c r="AE144" s="28"/>
      <c r="AF144" s="28"/>
      <c r="AG144" s="28"/>
      <c r="AH144" s="640">
        <f>IF(AH132+AH133=0,0,R144*AB144)</f>
        <v>1320</v>
      </c>
      <c r="AI144" s="641"/>
      <c r="AJ144" s="641"/>
      <c r="AK144" s="642"/>
      <c r="AL144" s="617" t="s">
        <v>188</v>
      </c>
      <c r="AM144" s="618"/>
      <c r="AN144" s="594">
        <f>AN45</f>
        <v>6</v>
      </c>
      <c r="AO144" s="595"/>
      <c r="AP144" s="613" t="s">
        <v>192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170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7"/>
      <c r="S146" s="27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1320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1285.8699999999999</v>
      </c>
      <c r="S148" s="548"/>
      <c r="T148" s="28" t="s">
        <v>71</v>
      </c>
      <c r="U148" s="28"/>
      <c r="V148" s="28"/>
      <c r="W148" s="549">
        <f>$W$27</f>
        <v>6.5758823529411776</v>
      </c>
      <c r="X148" s="549"/>
      <c r="Y148" s="28" t="s">
        <v>180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7187.3703650000007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156</v>
      </c>
      <c r="AQ148" s="662"/>
      <c r="AR148" s="663">
        <f>AN148*AB151/1000</f>
        <v>4.7160847058823542E-2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210</v>
      </c>
      <c r="Q149" s="646"/>
      <c r="R149" s="34" t="s">
        <v>215</v>
      </c>
      <c r="S149" s="33">
        <f>IF(P149="夏季",料金単価!$D$3,料金単価!$E$3)</f>
        <v>12.63</v>
      </c>
      <c r="T149" s="148" t="s">
        <v>184</v>
      </c>
      <c r="U149" s="149">
        <f>$U$28</f>
        <v>7.29</v>
      </c>
      <c r="V149" s="148" t="s">
        <v>199</v>
      </c>
      <c r="W149" s="150">
        <f>$W$28</f>
        <v>3.45</v>
      </c>
      <c r="X149" s="151" t="s">
        <v>172</v>
      </c>
      <c r="Y149" s="24" t="s">
        <v>61</v>
      </c>
      <c r="Z149" s="151"/>
      <c r="AA149" s="32"/>
      <c r="AB149" s="702">
        <f>AF$17+AF$19+AF$21</f>
        <v>105.03529411764708</v>
      </c>
      <c r="AC149" s="702"/>
      <c r="AD149" s="24" t="s">
        <v>200</v>
      </c>
      <c r="AE149" s="24"/>
      <c r="AF149" s="24"/>
      <c r="AG149" s="152"/>
      <c r="AH149" s="648">
        <f>(S149+U149+W149)*AB149</f>
        <v>2454.6748235294126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153"/>
      <c r="J150" s="154"/>
      <c r="K150" s="154"/>
      <c r="L150" s="155"/>
      <c r="M150" s="155"/>
      <c r="N150" s="155"/>
      <c r="O150" s="155"/>
      <c r="P150" s="155"/>
      <c r="Q150" s="1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162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7"/>
      <c r="S151" s="27"/>
      <c r="T151" s="25"/>
      <c r="U151" s="25"/>
      <c r="V151" s="25"/>
      <c r="W151" s="165"/>
      <c r="X151" s="166"/>
      <c r="Y151" s="166"/>
      <c r="Z151" s="167"/>
      <c r="AA151" s="168"/>
      <c r="AB151" s="711">
        <f>SUM(AB149:AC149)</f>
        <v>105.03529411764708</v>
      </c>
      <c r="AC151" s="711"/>
      <c r="AD151" s="169" t="s">
        <v>57</v>
      </c>
      <c r="AE151" s="25"/>
      <c r="AF151" s="25"/>
      <c r="AG151" s="25"/>
      <c r="AH151" s="712">
        <f>SUM(AH148:AK149)</f>
        <v>9642.0451885294133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161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53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192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161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193</v>
      </c>
      <c r="W153" s="173">
        <f>W142</f>
        <v>14.55</v>
      </c>
      <c r="X153" s="174" t="s">
        <v>165</v>
      </c>
      <c r="Y153" s="155" t="s">
        <v>194</v>
      </c>
      <c r="Z153" s="665">
        <f>IF('様式11-5'!U$1="LPG",0,AF$22)</f>
        <v>0</v>
      </c>
      <c r="AA153" s="665"/>
      <c r="AB153" s="23" t="s">
        <v>195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7"/>
      <c r="S154" s="27"/>
      <c r="T154" s="25"/>
      <c r="U154" s="25"/>
      <c r="V154" s="25"/>
      <c r="W154" s="165"/>
      <c r="X154" s="166"/>
      <c r="Y154" s="166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196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53" t="s">
        <v>51</v>
      </c>
      <c r="AD155" s="28"/>
      <c r="AE155" s="28"/>
      <c r="AF155" s="28"/>
      <c r="AG155" s="28"/>
      <c r="AH155" s="640">
        <f>IF(AH143+AH144=0,0,R155*AB155)</f>
        <v>1320</v>
      </c>
      <c r="AI155" s="641"/>
      <c r="AJ155" s="641"/>
      <c r="AK155" s="642"/>
      <c r="AL155" s="617" t="s">
        <v>196</v>
      </c>
      <c r="AM155" s="618"/>
      <c r="AN155" s="594">
        <f>AN56</f>
        <v>6</v>
      </c>
      <c r="AO155" s="595"/>
      <c r="AP155" s="613" t="s">
        <v>192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195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7"/>
      <c r="S157" s="27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1320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177"/>
      <c r="C158" s="177"/>
      <c r="D158" s="177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177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180"/>
      <c r="D159" s="18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18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86248.444380000001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181</v>
      </c>
      <c r="AQ161" s="662"/>
      <c r="AR161" s="663">
        <f>AN161*AB166/1000</f>
        <v>8.0939687552941173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2885.5811764705886</v>
      </c>
      <c r="AC162" s="557"/>
      <c r="AD162" s="24" t="s">
        <v>200</v>
      </c>
      <c r="AE162" s="24"/>
      <c r="AF162" s="24"/>
      <c r="AG162" s="152"/>
      <c r="AH162" s="648">
        <f>AH39+AH61+AH50</f>
        <v>69917.631905882372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693.30000000000018</v>
      </c>
      <c r="AC163" s="557"/>
      <c r="AD163" s="24" t="s">
        <v>200</v>
      </c>
      <c r="AE163" s="24"/>
      <c r="AF163" s="24"/>
      <c r="AG163" s="152"/>
      <c r="AH163" s="648">
        <f>AH28+AH72+AH149</f>
        <v>16202.421000000004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14447.775294117646</v>
      </c>
      <c r="AC164" s="647"/>
      <c r="AD164" s="30" t="s">
        <v>200</v>
      </c>
      <c r="AE164" s="30"/>
      <c r="AF164" s="30"/>
      <c r="AG164" s="162"/>
      <c r="AH164" s="648">
        <f>AH94+AH105+AH116+AH127+AH83+AH138</f>
        <v>337644.50862352934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153"/>
      <c r="J165" s="154"/>
      <c r="K165" s="154"/>
      <c r="L165" s="155"/>
      <c r="M165" s="155"/>
      <c r="N165" s="155"/>
      <c r="O165" s="155"/>
      <c r="P165" s="155"/>
      <c r="Q165" s="1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185"/>
      <c r="AC165" s="185"/>
      <c r="AD165" s="30"/>
      <c r="AE165" s="30"/>
      <c r="AF165" s="30"/>
      <c r="AG165" s="162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7"/>
      <c r="C166" s="618"/>
      <c r="D166" s="636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18026.656470588234</v>
      </c>
      <c r="AC166" s="701"/>
      <c r="AD166" s="344" t="s">
        <v>57</v>
      </c>
      <c r="AE166" s="337"/>
      <c r="AF166" s="337"/>
      <c r="AG166" s="337"/>
      <c r="AH166" s="652">
        <f>SUM(AH161:AK164)</f>
        <v>510013.0059094117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192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174"/>
      <c r="Y168" s="155"/>
      <c r="Z168" s="188"/>
      <c r="AA168" s="189"/>
      <c r="AB168" s="557">
        <f>Z32+Z43+Z65+Z54+Z76+Z87+Z142+Z153</f>
        <v>0</v>
      </c>
      <c r="AC168" s="557"/>
      <c r="AD168" s="23" t="s">
        <v>195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174"/>
      <c r="Y169" s="155"/>
      <c r="Z169" s="271"/>
      <c r="AA169" s="271"/>
      <c r="AB169" s="562">
        <f>Z98+Z109+Z120+Z131</f>
        <v>0</v>
      </c>
      <c r="AC169" s="562"/>
      <c r="AD169" s="23" t="s">
        <v>195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196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15840</v>
      </c>
      <c r="AI171" s="641"/>
      <c r="AJ171" s="641"/>
      <c r="AK171" s="642"/>
      <c r="AL171" s="617" t="s">
        <v>196</v>
      </c>
      <c r="AM171" s="618"/>
      <c r="AN171" s="594">
        <f>AN34</f>
        <v>6</v>
      </c>
      <c r="AO171" s="595"/>
      <c r="AP171" s="613" t="s">
        <v>192</v>
      </c>
      <c r="AQ171" s="614"/>
      <c r="AR171" s="625">
        <f>AN171*AB173/1000</f>
        <v>3.2216470588235295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536.94117647058829</v>
      </c>
      <c r="AC172" s="562"/>
      <c r="AD172" s="23" t="s">
        <v>195</v>
      </c>
      <c r="AE172" s="23"/>
      <c r="AF172" s="23"/>
      <c r="AG172" s="23"/>
      <c r="AH172" s="558">
        <f>AH35+AH46+AH68+AH101+AH112+AH123+AH134+AH57+AH79+AH90+AH145+AH156</f>
        <v>236254.11764705883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536.94117647058829</v>
      </c>
      <c r="AC173" s="667"/>
      <c r="AD173" s="347" t="s">
        <v>43</v>
      </c>
      <c r="AE173" s="347"/>
      <c r="AF173" s="347"/>
      <c r="AG173" s="347"/>
      <c r="AH173" s="671">
        <f>SUM(AH171:AK172)</f>
        <v>252094.11764705883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5"/>
      <c r="AE174" s="563" t="s">
        <v>218</v>
      </c>
      <c r="AF174" s="564"/>
      <c r="AG174" s="565"/>
      <c r="AH174" s="566">
        <f>+AH166+AH170+AH173</f>
        <v>762107.1235564705</v>
      </c>
      <c r="AI174" s="567"/>
      <c r="AJ174" s="567"/>
      <c r="AK174" s="568"/>
      <c r="AP174" s="563" t="s">
        <v>1</v>
      </c>
      <c r="AQ174" s="564"/>
      <c r="AR174" s="569">
        <f>SUM(AR161:AT173)</f>
        <v>11.315615814117647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1808.089916809251</v>
      </c>
      <c r="AO177" s="582"/>
      <c r="AP177" s="583" t="s">
        <v>232</v>
      </c>
      <c r="AQ177" s="584"/>
      <c r="AR177" s="585">
        <f>AN177*0.0258</f>
        <v>46.648719853678678</v>
      </c>
      <c r="AS177" s="585"/>
      <c r="AT177" s="585"/>
      <c r="AU177" s="586" t="s">
        <v>233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234</v>
      </c>
      <c r="AQ178" s="584"/>
      <c r="AR178" s="585">
        <f>AN178*0.0258</f>
        <v>0</v>
      </c>
      <c r="AS178" s="585"/>
      <c r="AT178" s="585"/>
      <c r="AU178" s="586" t="s">
        <v>221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223</v>
      </c>
      <c r="AM179" s="599"/>
      <c r="AN179" s="600">
        <f>AB173/92.9</f>
        <v>5.7797758500601537</v>
      </c>
      <c r="AO179" s="601"/>
      <c r="AP179" s="602" t="s">
        <v>232</v>
      </c>
      <c r="AQ179" s="603"/>
      <c r="AR179" s="604">
        <f>AN179*0.0258</f>
        <v>0.14911821693155197</v>
      </c>
      <c r="AS179" s="604"/>
      <c r="AT179" s="604"/>
      <c r="AU179" s="629" t="s">
        <v>233</v>
      </c>
      <c r="AV179" s="630"/>
    </row>
    <row r="180" spans="2:48" ht="14.25" thickBot="1">
      <c r="AP180" s="573" t="s">
        <v>1</v>
      </c>
      <c r="AQ180" s="574"/>
      <c r="AR180" s="575">
        <f>SUM(AR177:AT179)</f>
        <v>46.797838070610233</v>
      </c>
      <c r="AS180" s="576"/>
      <c r="AT180" s="576"/>
      <c r="AU180" s="577" t="s">
        <v>221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H19:I19"/>
    <mergeCell ref="J19:K19"/>
    <mergeCell ref="L19:M19"/>
    <mergeCell ref="N19:O19"/>
    <mergeCell ref="P19:Q19"/>
    <mergeCell ref="R19:S19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AL21:AV21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B138:AC138"/>
    <mergeCell ref="AH138:AK138"/>
    <mergeCell ref="AH139:AK139"/>
    <mergeCell ref="AN136:AQ136"/>
    <mergeCell ref="AR136:AV136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44:AQ146"/>
    <mergeCell ref="AR144:AT146"/>
    <mergeCell ref="AU144:AV146"/>
    <mergeCell ref="AL141:AM143"/>
    <mergeCell ref="R145:S145"/>
    <mergeCell ref="X145:Y145"/>
    <mergeCell ref="AH145:AK145"/>
    <mergeCell ref="E146:H146"/>
    <mergeCell ref="X146:Y146"/>
    <mergeCell ref="AH146:AK146"/>
    <mergeCell ref="C141:D146"/>
    <mergeCell ref="AN141:AO143"/>
    <mergeCell ref="AP141:AQ143"/>
    <mergeCell ref="AR141:AT143"/>
    <mergeCell ref="E151:H151"/>
    <mergeCell ref="AB151:AC151"/>
    <mergeCell ref="AH151:AK151"/>
    <mergeCell ref="AN147:AQ147"/>
    <mergeCell ref="AR147:AV147"/>
    <mergeCell ref="AP148:AQ151"/>
    <mergeCell ref="AR148:AT151"/>
    <mergeCell ref="AU148:AV151"/>
    <mergeCell ref="AU141:AV143"/>
    <mergeCell ref="E160:H160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R144:S144"/>
    <mergeCell ref="Z154:AA154"/>
    <mergeCell ref="AH154:AK154"/>
    <mergeCell ref="X157:Y157"/>
    <mergeCell ref="AH157:AK157"/>
    <mergeCell ref="AH155:AK155"/>
    <mergeCell ref="AH161:AK161"/>
    <mergeCell ref="AL161:AM166"/>
    <mergeCell ref="AN161:AO166"/>
    <mergeCell ref="AP161:AQ166"/>
    <mergeCell ref="B148:B157"/>
    <mergeCell ref="C148:D151"/>
    <mergeCell ref="E148:H150"/>
    <mergeCell ref="R148:S148"/>
    <mergeCell ref="W148:X148"/>
    <mergeCell ref="AH148:AK148"/>
    <mergeCell ref="AL148:AM151"/>
    <mergeCell ref="AN148:AO151"/>
    <mergeCell ref="B147:D147"/>
    <mergeCell ref="E147:H147"/>
    <mergeCell ref="I147:Q147"/>
    <mergeCell ref="R147:AG147"/>
    <mergeCell ref="AH147:AK147"/>
    <mergeCell ref="AL147:AM147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E157:H157"/>
    <mergeCell ref="B160:D160"/>
    <mergeCell ref="AH172:AK172"/>
    <mergeCell ref="AL167:AM170"/>
    <mergeCell ref="AN167:AO170"/>
    <mergeCell ref="AP167:AQ170"/>
    <mergeCell ref="AU155:AV157"/>
    <mergeCell ref="AL152:AM154"/>
    <mergeCell ref="AN152:AO154"/>
    <mergeCell ref="AP152:AQ154"/>
    <mergeCell ref="AR152:AT154"/>
    <mergeCell ref="AU152:AV154"/>
    <mergeCell ref="S153:T153"/>
    <mergeCell ref="Z153:AA153"/>
    <mergeCell ref="AH153:AK153"/>
    <mergeCell ref="X173:Y173"/>
    <mergeCell ref="AB173:AC173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H163:AK163"/>
    <mergeCell ref="AN160:AQ160"/>
    <mergeCell ref="AR160:AV160"/>
    <mergeCell ref="AR171:AT173"/>
    <mergeCell ref="AU171:AV173"/>
    <mergeCell ref="AR167:AT170"/>
    <mergeCell ref="AL179:AM179"/>
    <mergeCell ref="AN179:AO179"/>
    <mergeCell ref="AP179:AQ179"/>
    <mergeCell ref="AR179:AT179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U179:AV179"/>
    <mergeCell ref="AL171:AM173"/>
    <mergeCell ref="B167:D173"/>
    <mergeCell ref="E167:H169"/>
    <mergeCell ref="S167:T167"/>
    <mergeCell ref="AH167:AK167"/>
    <mergeCell ref="AH169:AK169"/>
    <mergeCell ref="E170:H170"/>
    <mergeCell ref="L164:O164"/>
    <mergeCell ref="P164:Q164"/>
    <mergeCell ref="AB164:AC164"/>
    <mergeCell ref="AH164:AK164"/>
    <mergeCell ref="AB170:AC170"/>
    <mergeCell ref="AH170:AK170"/>
    <mergeCell ref="E171:H172"/>
    <mergeCell ref="R171:S171"/>
    <mergeCell ref="AH171:AK171"/>
    <mergeCell ref="R172:S172"/>
    <mergeCell ref="X172:Y172"/>
    <mergeCell ref="AB172:AC172"/>
    <mergeCell ref="B161:D166"/>
    <mergeCell ref="E161:H165"/>
    <mergeCell ref="R161:S161"/>
    <mergeCell ref="W161:X161"/>
    <mergeCell ref="AU167:AV170"/>
    <mergeCell ref="S168:T168"/>
    <mergeCell ref="AB168:AC168"/>
    <mergeCell ref="AH168:AK168"/>
    <mergeCell ref="S169:T169"/>
    <mergeCell ref="AB169:AC169"/>
    <mergeCell ref="AE174:AG174"/>
    <mergeCell ref="AH174:AK174"/>
    <mergeCell ref="AP174:AQ174"/>
    <mergeCell ref="AR174:AT174"/>
    <mergeCell ref="AU174:AV174"/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800-000000000000}">
          <x14:formula1>
            <xm:f>料金単価!$B$21:$B$28</xm:f>
          </x14:formula1>
          <xm:sqref>Y1:AK1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X180"/>
  <sheetViews>
    <sheetView view="pageBreakPreview" zoomScaleNormal="115" zoomScaleSheetLayoutView="100" workbookViewId="0">
      <selection activeCell="W27" sqref="W27:X27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9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9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9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9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9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9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9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9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9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9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9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9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9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9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9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9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9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9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9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9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9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9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9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9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9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9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9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9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9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9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9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9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9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9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9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9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9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9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9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9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9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9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9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9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9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9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9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9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9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9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9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9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9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9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9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9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9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9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9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9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9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9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9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9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SUMIF(料金単価!$B$21:$B$28,$Y$1,料金単価!A21:A28)</f>
        <v>3</v>
      </c>
      <c r="Y1" s="937" t="s">
        <v>371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99"/>
      <c r="L2" s="199"/>
      <c r="M2" s="247"/>
      <c r="N2" s="247"/>
      <c r="O2" s="247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21</v>
      </c>
      <c r="M7" s="912"/>
      <c r="N7" s="766">
        <v>22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20</v>
      </c>
      <c r="W7" s="927"/>
      <c r="X7" s="766">
        <v>19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10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10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150</v>
      </c>
      <c r="K9" s="886"/>
      <c r="L9" s="886">
        <f>+L7*$J$8</f>
        <v>210</v>
      </c>
      <c r="M9" s="886"/>
      <c r="N9" s="886">
        <f>IF(N7="-","-",+N7*$J$8)</f>
        <v>220</v>
      </c>
      <c r="O9" s="886"/>
      <c r="P9" s="886">
        <f>+P7*$J$8</f>
        <v>130</v>
      </c>
      <c r="Q9" s="886"/>
      <c r="R9" s="887" t="s">
        <v>150</v>
      </c>
      <c r="S9" s="850"/>
      <c r="T9" s="850" t="s">
        <v>150</v>
      </c>
      <c r="U9" s="851"/>
      <c r="V9" s="887" t="s">
        <v>150</v>
      </c>
      <c r="W9" s="850"/>
      <c r="X9" s="850" t="s">
        <v>150</v>
      </c>
      <c r="Y9" s="850"/>
      <c r="Z9" s="850" t="s">
        <v>150</v>
      </c>
      <c r="AA9" s="850"/>
      <c r="AB9" s="850" t="s">
        <v>150</v>
      </c>
      <c r="AC9" s="851"/>
      <c r="AD9" s="887" t="s">
        <v>150</v>
      </c>
      <c r="AE9" s="850"/>
      <c r="AF9" s="850" t="s">
        <v>150</v>
      </c>
      <c r="AG9" s="851"/>
      <c r="AH9" s="930">
        <f>SUM(J9:AG9)</f>
        <v>560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150</v>
      </c>
      <c r="K10" s="797"/>
      <c r="L10" s="797" t="s">
        <v>150</v>
      </c>
      <c r="M10" s="797"/>
      <c r="N10" s="797" t="s">
        <v>150</v>
      </c>
      <c r="O10" s="797"/>
      <c r="P10" s="797" t="s">
        <v>150</v>
      </c>
      <c r="Q10" s="799"/>
      <c r="R10" s="845" t="str">
        <f>IF(R7="-","-",+R7*$R$8)</f>
        <v>-</v>
      </c>
      <c r="S10" s="846"/>
      <c r="T10" s="846" t="s">
        <v>150</v>
      </c>
      <c r="U10" s="876"/>
      <c r="V10" s="845">
        <f>IF(V7="-","-",+V7*$V$8)</f>
        <v>200</v>
      </c>
      <c r="W10" s="846"/>
      <c r="X10" s="847">
        <f>IF(X7="-","-",+X7*$V$8)</f>
        <v>190</v>
      </c>
      <c r="Y10" s="874"/>
      <c r="Z10" s="847">
        <f>IF(Z7="-","-",+Z7*$V$8)</f>
        <v>180</v>
      </c>
      <c r="AA10" s="874"/>
      <c r="AB10" s="847">
        <f>IF(AB7="-","-",+AB7*$V$8)</f>
        <v>140</v>
      </c>
      <c r="AC10" s="875"/>
      <c r="AD10" s="845" t="s">
        <v>150</v>
      </c>
      <c r="AE10" s="846"/>
      <c r="AF10" s="846" t="str">
        <f>IF(AF7="-","-",+AF7*$AF$8)</f>
        <v>-</v>
      </c>
      <c r="AG10" s="876"/>
      <c r="AH10" s="828">
        <f>SUM(J10:AG10)</f>
        <v>860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0.35</v>
      </c>
      <c r="K11" s="900"/>
      <c r="L11" s="900">
        <f>70%*SUMIF(室名リスト!$L$3:$L$10,$X$1,室名リスト!$N$3:$N$10)</f>
        <v>0.7</v>
      </c>
      <c r="M11" s="900"/>
      <c r="N11" s="900">
        <f>80%*SUMIF(室名リスト!$L$3:$L$10,$X$1,室名リスト!$N$3:$N$10)</f>
        <v>0.8</v>
      </c>
      <c r="O11" s="900"/>
      <c r="P11" s="900">
        <f>50%*SUMIF(室名リスト!$L$3:$L$10,$X$1,室名リスト!$N$3:$N$10)</f>
        <v>0.5</v>
      </c>
      <c r="Q11" s="901"/>
      <c r="R11" s="902" t="s">
        <v>150</v>
      </c>
      <c r="S11" s="892"/>
      <c r="T11" s="836" t="s">
        <v>150</v>
      </c>
      <c r="U11" s="871"/>
      <c r="V11" s="872">
        <f>45%*SUMIF(室名リスト!$L$3:$L$10,$X$1,室名リスト!$N$3:$N$10)</f>
        <v>0.45</v>
      </c>
      <c r="W11" s="873"/>
      <c r="X11" s="873">
        <f>60%*SUMIF(室名リスト!$L$3:$L$10,$X$1,室名リスト!$N$3:$N$10)</f>
        <v>0.6</v>
      </c>
      <c r="Y11" s="873"/>
      <c r="Z11" s="873">
        <f>60%*SUMIF(室名リスト!$L$3:$L$10,$X$1,室名リスト!$N$3:$N$10)</f>
        <v>0.6</v>
      </c>
      <c r="AA11" s="873"/>
      <c r="AB11" s="873">
        <f>35%*SUMIF(室名リスト!$L$3:$L$10,$X$1,室名リスト!$N$3:$N$10)</f>
        <v>0.35</v>
      </c>
      <c r="AC11" s="891"/>
      <c r="AD11" s="838" t="s">
        <v>82</v>
      </c>
      <c r="AE11" s="836"/>
      <c r="AF11" s="892" t="s">
        <v>150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150</v>
      </c>
      <c r="K12" s="788"/>
      <c r="L12" s="788">
        <f>+L9*L11</f>
        <v>147</v>
      </c>
      <c r="M12" s="788"/>
      <c r="N12" s="788">
        <f>IF(N9="-","-",+N9*N11)</f>
        <v>176</v>
      </c>
      <c r="O12" s="788"/>
      <c r="P12" s="788">
        <f>+P9*P11</f>
        <v>65</v>
      </c>
      <c r="Q12" s="788"/>
      <c r="R12" s="838" t="s">
        <v>150</v>
      </c>
      <c r="S12" s="836"/>
      <c r="T12" s="836" t="s">
        <v>150</v>
      </c>
      <c r="U12" s="871"/>
      <c r="V12" s="887" t="s">
        <v>150</v>
      </c>
      <c r="W12" s="850"/>
      <c r="X12" s="850" t="s">
        <v>150</v>
      </c>
      <c r="Y12" s="850"/>
      <c r="Z12" s="850" t="s">
        <v>150</v>
      </c>
      <c r="AA12" s="850"/>
      <c r="AB12" s="850" t="s">
        <v>150</v>
      </c>
      <c r="AC12" s="851"/>
      <c r="AD12" s="838" t="s">
        <v>150</v>
      </c>
      <c r="AE12" s="836"/>
      <c r="AF12" s="836" t="s">
        <v>150</v>
      </c>
      <c r="AG12" s="837"/>
      <c r="AH12" s="775">
        <f t="shared" ref="AH12:AH21" si="0">SUM(J12:AG12)</f>
        <v>388</v>
      </c>
      <c r="AI12" s="755"/>
      <c r="AJ12" s="755">
        <f>SUM(AH12:AI13)</f>
        <v>801.5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52.5</v>
      </c>
      <c r="K13" s="797"/>
      <c r="L13" s="797" t="s">
        <v>150</v>
      </c>
      <c r="M13" s="797"/>
      <c r="N13" s="797" t="s">
        <v>150</v>
      </c>
      <c r="O13" s="797"/>
      <c r="P13" s="797" t="s">
        <v>150</v>
      </c>
      <c r="Q13" s="799"/>
      <c r="R13" s="845" t="str">
        <f>IF(R10="-","-",+R10*R11)</f>
        <v>-</v>
      </c>
      <c r="S13" s="846"/>
      <c r="T13" s="846" t="s">
        <v>150</v>
      </c>
      <c r="U13" s="847"/>
      <c r="V13" s="848">
        <f>IF(V10="-","-",+V10*V11)</f>
        <v>90</v>
      </c>
      <c r="W13" s="849"/>
      <c r="X13" s="798">
        <f>IF(X10="-","-",+X10*X11)</f>
        <v>114</v>
      </c>
      <c r="Y13" s="849"/>
      <c r="Z13" s="798">
        <f>IF(Z10="-","-",+Z10*Z11)</f>
        <v>108</v>
      </c>
      <c r="AA13" s="849"/>
      <c r="AB13" s="798">
        <f>IF(AB10="-","-",+AB10*AB11)</f>
        <v>49</v>
      </c>
      <c r="AC13" s="878"/>
      <c r="AD13" s="845" t="s">
        <v>150</v>
      </c>
      <c r="AE13" s="846"/>
      <c r="AF13" s="846" t="str">
        <f>IF(AF10="-","-",+AF10*AF11)</f>
        <v>-</v>
      </c>
      <c r="AG13" s="876"/>
      <c r="AH13" s="828">
        <f t="shared" si="0"/>
        <v>413.5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150</v>
      </c>
      <c r="K14" s="788"/>
      <c r="L14" s="789">
        <f>IF(L9="-",31*24,31*24-L9)</f>
        <v>534</v>
      </c>
      <c r="M14" s="789"/>
      <c r="N14" s="836">
        <f>IF(N9="-",31*24,31*24-N9)</f>
        <v>524</v>
      </c>
      <c r="O14" s="836"/>
      <c r="P14" s="789">
        <f>IF(P9="-",30*24,30*24-P9)</f>
        <v>590</v>
      </c>
      <c r="Q14" s="877"/>
      <c r="R14" s="838" t="s">
        <v>150</v>
      </c>
      <c r="S14" s="836"/>
      <c r="T14" s="836" t="s">
        <v>150</v>
      </c>
      <c r="U14" s="871"/>
      <c r="V14" s="838" t="s">
        <v>150</v>
      </c>
      <c r="W14" s="836"/>
      <c r="X14" s="836" t="s">
        <v>150</v>
      </c>
      <c r="Y14" s="836"/>
      <c r="Z14" s="836" t="s">
        <v>150</v>
      </c>
      <c r="AA14" s="836"/>
      <c r="AB14" s="836" t="s">
        <v>150</v>
      </c>
      <c r="AC14" s="837"/>
      <c r="AD14" s="838" t="s">
        <v>150</v>
      </c>
      <c r="AE14" s="836"/>
      <c r="AF14" s="836" t="s">
        <v>150</v>
      </c>
      <c r="AG14" s="837"/>
      <c r="AH14" s="775">
        <f t="shared" si="0"/>
        <v>1648</v>
      </c>
      <c r="AI14" s="755"/>
      <c r="AJ14" s="755">
        <f>SUM(AH14:AI15)</f>
        <v>7340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570</v>
      </c>
      <c r="K15" s="764"/>
      <c r="L15" s="765" t="s">
        <v>150</v>
      </c>
      <c r="M15" s="766"/>
      <c r="N15" s="765" t="s">
        <v>150</v>
      </c>
      <c r="O15" s="766"/>
      <c r="P15" s="765" t="s">
        <v>150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544</v>
      </c>
      <c r="W15" s="834"/>
      <c r="X15" s="834">
        <f>IF(X10="-",31*24,31*24-X10)</f>
        <v>554</v>
      </c>
      <c r="Y15" s="834"/>
      <c r="Z15" s="834">
        <f>IF(Z10="-",28*24,28*24-Z10)</f>
        <v>492</v>
      </c>
      <c r="AA15" s="834"/>
      <c r="AB15" s="834">
        <f>IF(AB10="-",31*24,31*24-AB10)</f>
        <v>604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5692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150</v>
      </c>
      <c r="K16" s="861"/>
      <c r="L16" s="862">
        <f>IF(L12="-",0,L12*SUMIF('様式11-5'!$G$92:$G$99,'様式11-6③'!$Y$1,'様式11-5'!$Q$92:$Q$99))+L14*SUMIF('様式11-5'!$G$92:$G$99,'様式11-6③'!$Y$1,'様式11-5'!$T$92:$T$99)</f>
        <v>119.41411764705884</v>
      </c>
      <c r="M16" s="863"/>
      <c r="N16" s="862">
        <f>IF(N12="-",0,N12*SUMIF('様式11-5'!$G$92:$G$99,'様式11-6③'!$Y$1,'様式11-5'!$Q$92:$Q$99))+N14*SUMIF('様式11-5'!$G$92:$G$99,'様式11-6③'!$Y$1,'様式11-5'!$T$92:$T$99)</f>
        <v>140.93647058823532</v>
      </c>
      <c r="O16" s="863"/>
      <c r="P16" s="862">
        <f>IF(P12="-",0,P12*SUMIF('様式11-5'!$G$92:$G$99,'様式11-6③'!$Y$1,'様式11-5'!$Q$92:$Q$99))+P14*SUMIF('様式11-5'!$G$92:$G$99,'様式11-6③'!$Y$1,'様式11-5'!$T$92:$T$99)</f>
        <v>59.047058823529426</v>
      </c>
      <c r="Q16" s="862"/>
      <c r="R16" s="864" t="s">
        <v>150</v>
      </c>
      <c r="S16" s="816"/>
      <c r="T16" s="816" t="s">
        <v>150</v>
      </c>
      <c r="U16" s="865"/>
      <c r="V16" s="864" t="s">
        <v>150</v>
      </c>
      <c r="W16" s="816"/>
      <c r="X16" s="816" t="s">
        <v>150</v>
      </c>
      <c r="Y16" s="816"/>
      <c r="Z16" s="816" t="s">
        <v>150</v>
      </c>
      <c r="AA16" s="816"/>
      <c r="AB16" s="816" t="s">
        <v>150</v>
      </c>
      <c r="AC16" s="817"/>
      <c r="AD16" s="818" t="s">
        <v>150</v>
      </c>
      <c r="AE16" s="816"/>
      <c r="AF16" s="816" t="s">
        <v>150</v>
      </c>
      <c r="AG16" s="817"/>
      <c r="AH16" s="819">
        <f t="shared" si="0"/>
        <v>319.39764705882357</v>
      </c>
      <c r="AI16" s="820"/>
      <c r="AJ16" s="820">
        <f>SUM(AH16:AI17)</f>
        <v>2148.6070588235293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IF(J13="-",0,J13*SUMIF('様式11-5'!$G$92:$G$99,'様式11-6③'!$Y$1,'様式11-5'!$Q$92:$Q$99))+J15*SUMIF('様式11-5'!$G$92:$G$99,'様式11-6③'!$Y$1,'様式11-5'!$T$92:$T$99)</f>
        <v>49.341176470588245</v>
      </c>
      <c r="K17" s="844"/>
      <c r="L17" s="797" t="s">
        <v>150</v>
      </c>
      <c r="M17" s="798"/>
      <c r="N17" s="797" t="s">
        <v>150</v>
      </c>
      <c r="O17" s="798"/>
      <c r="P17" s="797" t="s">
        <v>150</v>
      </c>
      <c r="Q17" s="799"/>
      <c r="R17" s="768">
        <f>IF(R13="-",0,R13*SUMIF('様式11-5'!$G$92:$G$99,'様式11-6③'!$Y$1,'様式11-5'!$Q$92:$Q$99))+R15*SUMIF('様式11-5'!$G$92:$G$99,'様式11-6③'!$Y$1,'様式11-5'!$T$92:$T$99)</f>
        <v>13.129411764705885</v>
      </c>
      <c r="S17" s="814"/>
      <c r="T17" s="769">
        <f>IF(T13="-",0,T13*SUMIF('様式11-5'!$G$92:$G$99,'様式11-6③'!$Y$1,'様式11-5'!$R$92:$R$99))+T15*SUMIF('様式11-5'!$G$92:$G$99,'様式11-6③'!$Y$1,'様式11-5'!$T$92:$T$99)</f>
        <v>12.705882352941179</v>
      </c>
      <c r="U17" s="815"/>
      <c r="V17" s="795">
        <f>IF(V13="-",0,V13*SUMIF('様式11-5'!$G$92:$G$99,'様式11-6③'!$Y$1,'様式11-5'!$R$92:$R$99))+V15*SUMIF('様式11-5'!$G$92:$G$99,'様式11-6③'!$Y$1,'様式11-5'!$T$92:$T$99)</f>
        <v>430.8</v>
      </c>
      <c r="W17" s="796"/>
      <c r="X17" s="824">
        <f>IF(X13="-",0,X13*SUMIF('様式11-5'!$G$92:$G$99,'様式11-6③'!$Y$1,'様式11-5'!$R$92:$R$99))+X15*SUMIF('様式11-5'!$G$92:$G$99,'様式11-6③'!$Y$1,'様式11-5'!$T$92:$T$99)</f>
        <v>543.29647058823525</v>
      </c>
      <c r="Y17" s="825"/>
      <c r="Z17" s="824">
        <f>IF(Z13="-",0,Z13*SUMIF('様式11-5'!$G$92:$G$99,'様式11-6③'!$Y$1,'様式11-5'!$R$92:$R$99))+Z15*SUMIF('様式11-5'!$G$92:$G$99,'様式11-6③'!$Y$1,'様式11-5'!$T$92:$T$99)</f>
        <v>514.12235294117636</v>
      </c>
      <c r="AA17" s="825"/>
      <c r="AB17" s="824">
        <f>IF(AB13="-",0,AB13*SUMIF('様式11-5'!$G$92:$G$99,'様式11-6③'!$Y$1,'様式11-5'!$R$92:$R$99))+AB15*SUMIF('様式11-5'!$G$92:$G$99,'様式11-6③'!$Y$1,'様式11-5'!$T$92:$T$99)</f>
        <v>239.97882352941176</v>
      </c>
      <c r="AC17" s="826"/>
      <c r="AD17" s="827">
        <f>IF(AD13="-",0,AD13*SUMIF('様式11-5'!$G$92:$G$99,'様式11-6③'!$Y$1,'様式11-5'!$R$92:$R$99))+AD15*SUMIF('様式11-5'!$G$92:$G$99,'様式11-6③'!$Y$1,'様式11-5'!$T$92:$T$99)</f>
        <v>12.705882352941179</v>
      </c>
      <c r="AE17" s="769"/>
      <c r="AF17" s="827">
        <f>IF(AF13="-",0,AF13*SUMIF('様式11-5'!$G$92:$G$99,'様式11-6③'!$Y$1,'様式11-5'!$Q$92:$Q$99))+AF15*SUMIF('様式11-5'!$G$92:$G$99,'様式11-6③'!$Y$1,'様式11-5'!$T$92:$T$99)</f>
        <v>13.129411764705885</v>
      </c>
      <c r="AG17" s="769"/>
      <c r="AH17" s="828">
        <f>SUM(J17:AG17)</f>
        <v>1829.2094117647059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150</v>
      </c>
      <c r="K18" s="788"/>
      <c r="L18" s="772">
        <f>IF(L9="-",0,L9*SUMIF('様式11-5'!$G$100:$G$107,'様式11-6③'!$Y$1,'様式11-5'!$R$100:$R$107))+L14*SUMIF('様式11-5'!$G$100:$G$107,'様式11-6③'!$Y$1,'様式11-5'!$T$100:$T$107)</f>
        <v>7.3500000000000005</v>
      </c>
      <c r="M18" s="772"/>
      <c r="N18" s="772">
        <f>IF(N9="-",0,N9*SUMIF('様式11-5'!$G$100:$G$107,'様式11-6③'!$Y$1,'様式11-5'!$R$100:$R$107))+N14*SUMIF('様式11-5'!$G$100:$G$107,'様式11-6③'!$Y$1,'様式11-5'!$T$100:$T$107)</f>
        <v>7.7000000000000011</v>
      </c>
      <c r="O18" s="772"/>
      <c r="P18" s="789">
        <f>IF(P9="-",0,P9*SUMIF('様式11-5'!$G$100:$G$107,'様式11-6③'!$Y$1,'様式11-5'!$R$100:$R$107))+P14*SUMIF('様式11-5'!$G$100:$G$107,'様式11-6③'!$Y$1,'様式11-5'!$T$100:$T$107)</f>
        <v>4.5500000000000007</v>
      </c>
      <c r="Q18" s="789"/>
      <c r="R18" s="791" t="s">
        <v>150</v>
      </c>
      <c r="S18" s="772"/>
      <c r="T18" s="772" t="s">
        <v>150</v>
      </c>
      <c r="U18" s="792"/>
      <c r="V18" s="791" t="s">
        <v>150</v>
      </c>
      <c r="W18" s="772"/>
      <c r="X18" s="772" t="s">
        <v>150</v>
      </c>
      <c r="Y18" s="772"/>
      <c r="Z18" s="772" t="s">
        <v>150</v>
      </c>
      <c r="AA18" s="772"/>
      <c r="AB18" s="772" t="s">
        <v>150</v>
      </c>
      <c r="AC18" s="773"/>
      <c r="AD18" s="774" t="s">
        <v>150</v>
      </c>
      <c r="AE18" s="772"/>
      <c r="AF18" s="772" t="s">
        <v>150</v>
      </c>
      <c r="AG18" s="773"/>
      <c r="AH18" s="775">
        <f t="shared" si="0"/>
        <v>19.600000000000001</v>
      </c>
      <c r="AI18" s="755"/>
      <c r="AJ18" s="755">
        <f>SUM(AH18:AI19)</f>
        <v>49.7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IF(J10="-",0,J10*SUMIF('様式11-5'!$G$100:$G$107,'様式11-6③'!$Y$1,'様式11-5'!$R$100:$R$107))+J15*SUMIF('様式11-5'!$G$100:$G$107,'様式11-6③'!$Y$1,'様式11-5'!$T$100:$T$107)</f>
        <v>5.2500000000000009</v>
      </c>
      <c r="K19" s="796"/>
      <c r="L19" s="797" t="s">
        <v>150</v>
      </c>
      <c r="M19" s="798"/>
      <c r="N19" s="797" t="s">
        <v>150</v>
      </c>
      <c r="O19" s="798"/>
      <c r="P19" s="797" t="s">
        <v>150</v>
      </c>
      <c r="Q19" s="799"/>
      <c r="R19" s="768">
        <f>IF(R10="-",0,R10*SUMIF('様式11-5'!$G$100:$G$107,'様式11-6③'!$Y$1,'様式11-5'!$R$100:$R$107))+R15*SUMIF('様式11-5'!$G$100:$G$107,'様式11-6③'!$Y$1,'様式11-5'!$T$100:$T$107)</f>
        <v>0</v>
      </c>
      <c r="S19" s="769"/>
      <c r="T19" s="814">
        <f>IF(T10="-",0,T10*SUMIF('様式11-5'!$G$100:$G$107,'様式11-6③'!$Y$1,'様式11-5'!$R$100:$R$107))+T15*SUMIF('様式11-5'!$G$100:$G$107,'様式11-6③'!$Y$1,'様式11-5'!$T$100:$T$107)</f>
        <v>0</v>
      </c>
      <c r="U19" s="831"/>
      <c r="V19" s="832">
        <f>IF(V10="-",0,V10*SUMIF('様式11-5'!$G$100:$G$107,'様式11-6③'!$Y$1,'様式11-5'!$R$100:$R$107))+V15*SUMIF('様式11-5'!$G$100:$G$107,'様式11-6③'!$Y$1,'様式11-5'!$T$100:$T$107)</f>
        <v>7.0000000000000009</v>
      </c>
      <c r="W19" s="825"/>
      <c r="X19" s="824">
        <f>IF(X10="-",0,X10*SUMIF('様式11-5'!$G$100:$G$107,'様式11-6③'!$Y$1,'様式11-5'!$R$100:$R$107))+X15*SUMIF('様式11-5'!$G$100:$G$107,'様式11-6③'!$Y$1,'様式11-5'!$T$100:$T$107)</f>
        <v>6.65</v>
      </c>
      <c r="Y19" s="825"/>
      <c r="Z19" s="824">
        <f>IF(Z10="-",0,Z10*SUMIF('様式11-5'!$G$100:$G$107,'様式11-6③'!$Y$1,'様式11-5'!$R$100:$R$107))+Z15*SUMIF('様式11-5'!$G$100:$G$107,'様式11-6③'!$Y$1,'様式11-5'!$T$100:$T$107)</f>
        <v>6.3000000000000007</v>
      </c>
      <c r="AA19" s="825"/>
      <c r="AB19" s="824">
        <f>IF(AB10="-",0,AB10*SUMIF('様式11-5'!$G$100:$G$107,'様式11-6③'!$Y$1,'様式11-5'!$R$100:$R$107))+AB15*SUMIF('様式11-5'!$G$100:$G$107,'様式11-6③'!$Y$1,'様式11-5'!$T$100:$T$107)</f>
        <v>4.9000000000000004</v>
      </c>
      <c r="AC19" s="826"/>
      <c r="AD19" s="827">
        <f>IF(AD10="-",0,AD10*SUMIF('様式11-5'!$G$100:$G$107,'様式11-6③'!$Y$1,'様式11-5'!$R$100:$R$107))+AD15*SUMIF('様式11-5'!$G$100:$G$107,'様式11-6③'!$Y$1,'様式11-5'!$T$100:$T$107)</f>
        <v>0</v>
      </c>
      <c r="AE19" s="769"/>
      <c r="AF19" s="827">
        <f>IF(AF10="-",0,AF10*SUMIF('様式11-5'!$G$100:$G$107,'様式11-6③'!$Y$1,'様式11-5'!$R$100:$R$107))+AF15*SUMIF('様式11-5'!$G$100:$G$107,'様式11-6③'!$Y$1,'様式11-5'!$T$100:$T$107)</f>
        <v>0</v>
      </c>
      <c r="AG19" s="769"/>
      <c r="AH19" s="828">
        <f t="shared" si="0"/>
        <v>30.1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150</v>
      </c>
      <c r="K20" s="788"/>
      <c r="L20" s="789">
        <f>IF(L9="-",0,L9*SUMIF('様式11-5'!$G$108:$G$115,'様式11-6③'!$Y$1,'様式11-5'!$Q$108:$Q$115))+L14*SUMIF('様式11-5'!$G$108:$G$115,'様式11-6③'!$Y$1,'様式11-5'!$T$108:$T$115)</f>
        <v>0</v>
      </c>
      <c r="M20" s="790"/>
      <c r="N20" s="789">
        <f>IF(N9="-",0,N9*SUMIF('様式11-5'!$G$108:$G$115,'様式11-6③'!$Y$1,'様式11-5'!$Q$108:$Q$115))+N14*SUMIF('様式11-5'!$G$108:$G$115,'様式11-6③'!$Y$1,'様式11-5'!$T$108:$T$115)</f>
        <v>0</v>
      </c>
      <c r="O20" s="790"/>
      <c r="P20" s="789">
        <f>IF(P9="-",0,P9*SUMIF('様式11-5'!$G$108:$G$115,'様式11-6③'!$Y$1,'様式11-5'!$Q$108:$Q$115))+P14*SUMIF('様式11-5'!$G$108:$G$115,'様式11-6③'!$Y$1,'様式11-5'!$T$108:$T$115)</f>
        <v>0</v>
      </c>
      <c r="Q20" s="789"/>
      <c r="R20" s="791" t="s">
        <v>150</v>
      </c>
      <c r="S20" s="772"/>
      <c r="T20" s="772" t="s">
        <v>150</v>
      </c>
      <c r="U20" s="792"/>
      <c r="V20" s="791" t="s">
        <v>150</v>
      </c>
      <c r="W20" s="772"/>
      <c r="X20" s="772" t="s">
        <v>150</v>
      </c>
      <c r="Y20" s="772"/>
      <c r="Z20" s="772" t="s">
        <v>150</v>
      </c>
      <c r="AA20" s="772"/>
      <c r="AB20" s="772" t="s">
        <v>150</v>
      </c>
      <c r="AC20" s="773"/>
      <c r="AD20" s="774" t="s">
        <v>150</v>
      </c>
      <c r="AE20" s="772"/>
      <c r="AF20" s="772" t="s">
        <v>150</v>
      </c>
      <c r="AG20" s="773"/>
      <c r="AH20" s="775">
        <f t="shared" si="0"/>
        <v>0</v>
      </c>
      <c r="AI20" s="755"/>
      <c r="AJ20" s="755">
        <f>SUM(AH20:AI21)</f>
        <v>0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IF(J10="-",0,J10*SUMIF('様式11-5'!$G$108:$G$115,'様式11-6③'!$Y$1,'様式11-5'!$Q$108:$Q$115))+J15*SUMIF('様式11-5'!$G$108:$G$115,'様式11-6③'!$Y$1,'様式11-5'!$T$108:$T$115)</f>
        <v>0</v>
      </c>
      <c r="K21" s="764"/>
      <c r="L21" s="765" t="s">
        <v>150</v>
      </c>
      <c r="M21" s="766"/>
      <c r="N21" s="765" t="s">
        <v>150</v>
      </c>
      <c r="O21" s="766"/>
      <c r="P21" s="765" t="s">
        <v>150</v>
      </c>
      <c r="Q21" s="767"/>
      <c r="R21" s="768">
        <f>IF(R10="-",0,R10*SUMIF('様式11-5'!$G$108:$G$115,'様式11-6③'!$Y$1,'様式11-5'!$Q$108:$Q$115))+R15*SUMIF('様式11-5'!$G$108:$G$115,'様式11-6③'!$Y$1,'様式11-5'!$T$108:$T$115)</f>
        <v>0</v>
      </c>
      <c r="S21" s="769"/>
      <c r="T21" s="720">
        <f>IF(T10="-",0,T10*SUMIF('様式11-5'!$G$108:$G$115,'様式11-6③'!$Y$1,'様式11-5'!$R$108:$R$115))+T15*SUMIF('様式11-5'!$G$108:$G$115,'様式11-6③'!$Y$1,'様式11-5'!$T$108:$T$115)</f>
        <v>0</v>
      </c>
      <c r="U21" s="722"/>
      <c r="V21" s="770">
        <f>IF(V10="-",0,V10*SUMIF('様式11-5'!$G$108:$G$115,'様式11-6③'!$Y$1,'様式11-5'!$R$108:$R$115))+V15*SUMIF('様式11-5'!$G$108:$G$115,'様式11-6③'!$Y$1,'様式11-5'!$T$108:$T$115)</f>
        <v>0</v>
      </c>
      <c r="W21" s="771"/>
      <c r="X21" s="748">
        <f>IF(X10="-",0,X10*SUMIF('様式11-5'!$G$108:$G$115,'様式11-6③'!$Y$1,'様式11-5'!$R$108:$R$115))+X15*SUMIF('様式11-5'!$G$108:$G$115,'様式11-6③'!$Y$1,'様式11-5'!$T$108:$T$115)</f>
        <v>0</v>
      </c>
      <c r="Y21" s="749"/>
      <c r="Z21" s="748">
        <f>IF(Z10="-",0,Z10*SUMIF('様式11-5'!$G$108:$G$115,'様式11-6③'!$Y$1,'様式11-5'!$R$108:$R$115))+Z15*SUMIF('様式11-5'!$G$108:$G$115,'様式11-6③'!$Y$1,'様式11-5'!$T$108:$T$115)</f>
        <v>0</v>
      </c>
      <c r="AA21" s="749"/>
      <c r="AB21" s="748">
        <f>IF(AB10="-",0,AB10*SUMIF('様式11-5'!$G$108:$G$115,'様式11-6③'!$Y$1,'様式11-5'!$R$108:$R$115))+AB15*SUMIF('様式11-5'!$G$108:$G$115,'様式11-6③'!$Y$1,'様式11-5'!$T$108:$T$115)</f>
        <v>0</v>
      </c>
      <c r="AC21" s="750"/>
      <c r="AD21" s="751">
        <f>IF(AD10="-",0,AD10*SUMIF('様式11-5'!$G$108:$G$115,'様式11-6③'!$Y$1,'様式11-5'!$R$108:$R$115))+AD15*SUMIF('様式11-5'!$G$108:$G$115,'様式11-6③'!$Y$1,'様式11-5'!$T$108:$T$115)</f>
        <v>0</v>
      </c>
      <c r="AE21" s="752"/>
      <c r="AF21" s="751">
        <f>IF(AF10="-",0,AF10*SUMIF('様式11-5'!$G$108:$G$115,'様式11-6③'!$Y$1,'様式11-5'!$Q$108:$Q$115))+AF15*SUMIF('様式11-5'!$G$108:$G$115,'様式11-6③'!$Y$1,'様式11-5'!$T$108:$T$115)</f>
        <v>0</v>
      </c>
      <c r="AG21" s="752"/>
      <c r="AH21" s="753">
        <f t="shared" si="0"/>
        <v>0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IF(J13="-",0,J13*SUMIF('様式11-5'!$G$92:$G$99,'様式11-6③'!$Y$1,'様式11-5'!$X$92:$X$99))</f>
        <v>6.1764705882352944</v>
      </c>
      <c r="K22" s="807"/>
      <c r="L22" s="808">
        <f>IF(L12="-",0,L12*SUMIF('様式11-5'!$G$92:$G$99,'様式11-6③'!$Y$1,'様式11-5'!$X$92:$X$99))</f>
        <v>17.294117647058822</v>
      </c>
      <c r="M22" s="809"/>
      <c r="N22" s="810">
        <f>IF(N12="-",0,N12*SUMIF('様式11-5'!$G$92:$G$99,'様式11-6③'!$Y$1,'様式11-5'!$X$92:$X$99))</f>
        <v>20.705882352941178</v>
      </c>
      <c r="O22" s="810"/>
      <c r="P22" s="808">
        <f>IF(P12="-",0,P12*SUMIF('様式11-5'!$G$92:$G$99,'様式11-6③'!$Y$1,'様式11-5'!$X$92:$X$99))</f>
        <v>7.6470588235294112</v>
      </c>
      <c r="Q22" s="811"/>
      <c r="R22" s="812">
        <f>IF(R13="-",0,R13*SUMIF('様式11-5'!$G$92:$G$99,'様式11-6③'!$Y$1,'様式11-5'!$X$92:$X$99))</f>
        <v>0</v>
      </c>
      <c r="S22" s="743"/>
      <c r="T22" s="743">
        <f>IF(T13="-",0,T13*SUMIF('様式11-5'!$G$92:$G$99,'様式11-6③'!$Y$1,'様式11-5'!$X$92:$X$99))</f>
        <v>0</v>
      </c>
      <c r="U22" s="813"/>
      <c r="V22" s="812" t="s">
        <v>150</v>
      </c>
      <c r="W22" s="743"/>
      <c r="X22" s="743" t="s">
        <v>150</v>
      </c>
      <c r="Y22" s="743"/>
      <c r="Z22" s="743" t="s">
        <v>150</v>
      </c>
      <c r="AA22" s="743"/>
      <c r="AB22" s="743" t="s">
        <v>150</v>
      </c>
      <c r="AC22" s="744"/>
      <c r="AD22" s="745">
        <f>IF(AD13="-",0,AD13*SUMIF('様式11-5'!$G$92:$G$99,'様式11-6③'!$Y$1,'様式11-5'!$Y$92:$Y$99))</f>
        <v>0</v>
      </c>
      <c r="AE22" s="743"/>
      <c r="AF22" s="743">
        <f>IF(AF13="-",0,AF13*SUMIF('様式11-5'!$G$92:$G$99,'様式11-6③'!$Y$1,'様式11-5'!$X$92:$X$99))</f>
        <v>0</v>
      </c>
      <c r="AG22" s="744"/>
      <c r="AH22" s="746">
        <f>SUM(J22:AG22)</f>
        <v>51.823529411764703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150</v>
      </c>
      <c r="K23" s="737"/>
      <c r="L23" s="737" t="s">
        <v>150</v>
      </c>
      <c r="M23" s="737"/>
      <c r="N23" s="737" t="s">
        <v>150</v>
      </c>
      <c r="O23" s="737"/>
      <c r="P23" s="737" t="s">
        <v>150</v>
      </c>
      <c r="Q23" s="738"/>
      <c r="R23" s="739" t="s">
        <v>150</v>
      </c>
      <c r="S23" s="724"/>
      <c r="T23" s="724" t="s">
        <v>150</v>
      </c>
      <c r="U23" s="740"/>
      <c r="V23" s="741">
        <f>IF(V13="-",0,V13*SUMIF('様式11-5'!$G$92:$G$99,'様式11-6③'!$Y$1,'様式11-5'!$Y$92:$Y$99))</f>
        <v>0</v>
      </c>
      <c r="W23" s="742"/>
      <c r="X23" s="720">
        <f>IF(X13="-",0,X13*SUMIF('様式11-5'!$G$92:$G$99,'様式11-6③'!$Y$1,'様式11-5'!$Y$92:$Y$99))</f>
        <v>0</v>
      </c>
      <c r="Y23" s="721"/>
      <c r="Z23" s="720">
        <f>IF(Z13="-",0,Z13*SUMIF('様式11-5'!$G$92:$G$99,'様式11-6③'!$Y$1,'様式11-5'!$Y$92:$Y$99))</f>
        <v>0</v>
      </c>
      <c r="AA23" s="721"/>
      <c r="AB23" s="720">
        <f>IF(AB13="-",0,AB13*SUMIF('様式11-5'!$G$92:$G$99,'様式11-6③'!$Y$1,'様式11-5'!$Y$92:$Y$99))</f>
        <v>0</v>
      </c>
      <c r="AC23" s="722"/>
      <c r="AD23" s="723" t="s">
        <v>150</v>
      </c>
      <c r="AE23" s="724"/>
      <c r="AF23" s="724" t="s">
        <v>150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1285.8699999999999</v>
      </c>
      <c r="S27" s="548"/>
      <c r="T27" s="28" t="s">
        <v>71</v>
      </c>
      <c r="U27" s="28"/>
      <c r="V27" s="28"/>
      <c r="W27" s="549">
        <f>SUMIF('様式11-5'!$G$92:$G$99,'様式11-6③'!$Y$1,'様式11-5'!$Q$92:$Q$99)+SUMIF('様式11-5'!$G$100:$G$107,'様式11-6③'!$Y$1,'様式11-5'!$R$100:$R$107)+SUMIF('様式11-5'!$G$108:$G$115,'様式11-6③'!$Y$1,'様式11-5'!$Q$108:$Q$115)</f>
        <v>0.78323529411764725</v>
      </c>
      <c r="X27" s="549"/>
      <c r="Y27" s="28" t="s">
        <v>70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856.06795250000016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72</v>
      </c>
      <c r="AQ27" s="662"/>
      <c r="AR27" s="663">
        <f>AN27*AB30/1000</f>
        <v>2.4511438235294121E-2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62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54.591176470588245</v>
      </c>
      <c r="AC28" s="702"/>
      <c r="AD28" s="24" t="s">
        <v>63</v>
      </c>
      <c r="AE28" s="24"/>
      <c r="AF28" s="24"/>
      <c r="AG28" s="152"/>
      <c r="AH28" s="648">
        <f>(S28+U28+W28)*AB28</f>
        <v>1275.7957941176473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255"/>
      <c r="J29" s="252"/>
      <c r="K29" s="252"/>
      <c r="L29" s="259"/>
      <c r="M29" s="259"/>
      <c r="N29" s="259"/>
      <c r="O29" s="259"/>
      <c r="P29" s="259"/>
      <c r="Q29" s="256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53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54"/>
      <c r="S30" s="254"/>
      <c r="T30" s="25"/>
      <c r="U30" s="25"/>
      <c r="V30" s="25"/>
      <c r="W30" s="165"/>
      <c r="X30" s="260"/>
      <c r="Y30" s="260"/>
      <c r="Z30" s="167"/>
      <c r="AA30" s="168"/>
      <c r="AB30" s="711">
        <f>SUM(AB28:AC28)</f>
        <v>54.591176470588245</v>
      </c>
      <c r="AC30" s="711"/>
      <c r="AD30" s="169" t="s">
        <v>57</v>
      </c>
      <c r="AE30" s="25"/>
      <c r="AF30" s="25"/>
      <c r="AG30" s="25"/>
      <c r="AH30" s="712">
        <f>SUM(AH27:AK28)</f>
        <v>2131.8637466176474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111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251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45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111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110</v>
      </c>
      <c r="W32" s="173">
        <f>料金単価!$F$7</f>
        <v>14.55</v>
      </c>
      <c r="X32" s="258" t="s">
        <v>112</v>
      </c>
      <c r="Y32" s="259" t="s">
        <v>113</v>
      </c>
      <c r="Z32" s="719">
        <f>IF('様式11-5'!U$1="LPG",0,J$22)</f>
        <v>0</v>
      </c>
      <c r="AA32" s="719"/>
      <c r="AB32" s="23" t="s">
        <v>46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54"/>
      <c r="S33" s="254"/>
      <c r="T33" s="25"/>
      <c r="U33" s="25"/>
      <c r="V33" s="25"/>
      <c r="W33" s="165"/>
      <c r="X33" s="260"/>
      <c r="Y33" s="260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52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251" t="s">
        <v>51</v>
      </c>
      <c r="AD34" s="28"/>
      <c r="AE34" s="28"/>
      <c r="AF34" s="28"/>
      <c r="AG34" s="28"/>
      <c r="AH34" s="640">
        <f>IF(AH22+AH23=0,0,R34*AB34)</f>
        <v>1320</v>
      </c>
      <c r="AI34" s="641"/>
      <c r="AJ34" s="641"/>
      <c r="AK34" s="642"/>
      <c r="AL34" s="617" t="s">
        <v>52</v>
      </c>
      <c r="AM34" s="618"/>
      <c r="AN34" s="594">
        <v>6</v>
      </c>
      <c r="AO34" s="595"/>
      <c r="AP34" s="613" t="s">
        <v>45</v>
      </c>
      <c r="AQ34" s="614"/>
      <c r="AR34" s="625">
        <f>AN34*X36/1000</f>
        <v>3.7058823529411769E-2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6.1764705882352944</v>
      </c>
      <c r="Y35" s="644"/>
      <c r="Z35" s="23" t="s">
        <v>46</v>
      </c>
      <c r="AA35" s="23"/>
      <c r="AB35" s="23"/>
      <c r="AC35" s="24"/>
      <c r="AD35" s="23"/>
      <c r="AE35" s="23"/>
      <c r="AF35" s="23"/>
      <c r="AG35" s="23"/>
      <c r="AH35" s="558">
        <f>R35*X35</f>
        <v>2717.6470588235297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54"/>
      <c r="S36" s="254"/>
      <c r="T36" s="25"/>
      <c r="U36" s="25"/>
      <c r="V36" s="25"/>
      <c r="W36" s="165"/>
      <c r="X36" s="716">
        <f>SUM(X35:Y35)</f>
        <v>6.1764705882352944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4037.6470588235297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1285.8699999999999</v>
      </c>
      <c r="S38" s="548"/>
      <c r="T38" s="28" t="s">
        <v>71</v>
      </c>
      <c r="U38" s="28"/>
      <c r="V38" s="28"/>
      <c r="W38" s="549">
        <f>$W$27</f>
        <v>0.78323529411764725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856.06795250000016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72</v>
      </c>
      <c r="AQ38" s="662"/>
      <c r="AR38" s="663">
        <f>AN38*AB41/1000</f>
        <v>5.6917088823529416E-2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62</v>
      </c>
      <c r="U39" s="149">
        <f>$U$28</f>
        <v>7.29</v>
      </c>
      <c r="V39" s="148" t="s">
        <v>62</v>
      </c>
      <c r="W39" s="150">
        <f>$W$28</f>
        <v>3.45</v>
      </c>
      <c r="X39" s="151" t="s">
        <v>64</v>
      </c>
      <c r="Y39" s="24" t="s">
        <v>61</v>
      </c>
      <c r="Z39" s="151"/>
      <c r="AA39" s="32"/>
      <c r="AB39" s="702">
        <f>L$16+L$18+L$20</f>
        <v>126.76411764705884</v>
      </c>
      <c r="AC39" s="702"/>
      <c r="AD39" s="24" t="s">
        <v>63</v>
      </c>
      <c r="AE39" s="24"/>
      <c r="AF39" s="24"/>
      <c r="AG39" s="152"/>
      <c r="AH39" s="648">
        <f>(S39+U39+W39)*AB39</f>
        <v>3071.4945705882355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255"/>
      <c r="J40" s="252"/>
      <c r="K40" s="252"/>
      <c r="L40" s="259"/>
      <c r="M40" s="259"/>
      <c r="N40" s="259"/>
      <c r="O40" s="259"/>
      <c r="P40" s="259"/>
      <c r="Q40" s="2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253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54"/>
      <c r="S41" s="254"/>
      <c r="T41" s="25"/>
      <c r="U41" s="25"/>
      <c r="V41" s="25"/>
      <c r="W41" s="165"/>
      <c r="X41" s="260"/>
      <c r="Y41" s="260"/>
      <c r="Z41" s="167"/>
      <c r="AA41" s="168"/>
      <c r="AB41" s="711">
        <f>SUM(AB39:AC39)</f>
        <v>126.76411764705884</v>
      </c>
      <c r="AC41" s="711"/>
      <c r="AD41" s="169" t="s">
        <v>57</v>
      </c>
      <c r="AE41" s="25"/>
      <c r="AF41" s="25"/>
      <c r="AG41" s="25"/>
      <c r="AH41" s="712">
        <f>SUM(AH38:AK39)</f>
        <v>3927.5625230882356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111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251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45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132.49</v>
      </c>
      <c r="T43" s="556"/>
      <c r="U43" s="23" t="s">
        <v>48</v>
      </c>
      <c r="V43" s="172" t="s">
        <v>110</v>
      </c>
      <c r="W43" s="173">
        <f>W32</f>
        <v>14.55</v>
      </c>
      <c r="X43" s="258" t="s">
        <v>112</v>
      </c>
      <c r="Y43" s="259" t="s">
        <v>113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54"/>
      <c r="S44" s="254"/>
      <c r="T44" s="25"/>
      <c r="U44" s="25"/>
      <c r="V44" s="25"/>
      <c r="W44" s="165"/>
      <c r="X44" s="260"/>
      <c r="Y44" s="260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52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251" t="s">
        <v>51</v>
      </c>
      <c r="AD45" s="28"/>
      <c r="AE45" s="28"/>
      <c r="AF45" s="28"/>
      <c r="AG45" s="28"/>
      <c r="AH45" s="640">
        <f>IF(AH33+AH34=0,0,R45*AB45)</f>
        <v>1320</v>
      </c>
      <c r="AI45" s="641"/>
      <c r="AJ45" s="641"/>
      <c r="AK45" s="642"/>
      <c r="AL45" s="617" t="s">
        <v>52</v>
      </c>
      <c r="AM45" s="618"/>
      <c r="AN45" s="594">
        <f>AN34</f>
        <v>6</v>
      </c>
      <c r="AO45" s="595"/>
      <c r="AP45" s="613" t="s">
        <v>45</v>
      </c>
      <c r="AQ45" s="614"/>
      <c r="AR45" s="625">
        <f>AN45*X47/1000</f>
        <v>0.10376470588235293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17.294117647058822</v>
      </c>
      <c r="Y46" s="644"/>
      <c r="Z46" s="23" t="s">
        <v>46</v>
      </c>
      <c r="AA46" s="23"/>
      <c r="AB46" s="23"/>
      <c r="AC46" s="24"/>
      <c r="AD46" s="23"/>
      <c r="AE46" s="23"/>
      <c r="AF46" s="23"/>
      <c r="AG46" s="23"/>
      <c r="AH46" s="558">
        <f>R46*X46</f>
        <v>7609.411764705882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54"/>
      <c r="S47" s="254"/>
      <c r="T47" s="25"/>
      <c r="U47" s="25"/>
      <c r="V47" s="25"/>
      <c r="W47" s="165"/>
      <c r="X47" s="716">
        <f>SUM(X46:Y46)</f>
        <v>17.294117647058822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8929.4117647058811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1285.8699999999999</v>
      </c>
      <c r="S49" s="548"/>
      <c r="T49" s="28" t="s">
        <v>71</v>
      </c>
      <c r="U49" s="28"/>
      <c r="V49" s="28"/>
      <c r="W49" s="549">
        <f>$W$27</f>
        <v>0.78323529411764725</v>
      </c>
      <c r="X49" s="549"/>
      <c r="Y49" s="28" t="s">
        <v>70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856.06795250000016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72</v>
      </c>
      <c r="AQ49" s="662"/>
      <c r="AR49" s="663">
        <f>AN49*AB52/1000</f>
        <v>6.673777529411766E-2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62</v>
      </c>
      <c r="U50" s="149">
        <f>$U$28</f>
        <v>7.29</v>
      </c>
      <c r="V50" s="148" t="s">
        <v>62</v>
      </c>
      <c r="W50" s="150">
        <f>$W$28</f>
        <v>3.45</v>
      </c>
      <c r="X50" s="151" t="s">
        <v>64</v>
      </c>
      <c r="Y50" s="24" t="s">
        <v>61</v>
      </c>
      <c r="Z50" s="151"/>
      <c r="AA50" s="32"/>
      <c r="AB50" s="702">
        <f>N$16+N$18+N$20</f>
        <v>148.63647058823531</v>
      </c>
      <c r="AC50" s="702"/>
      <c r="AD50" s="24" t="s">
        <v>63</v>
      </c>
      <c r="AE50" s="24"/>
      <c r="AF50" s="24"/>
      <c r="AG50" s="152"/>
      <c r="AH50" s="648">
        <f>(S50+U50+W50)*AB50</f>
        <v>3601.4616823529418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255"/>
      <c r="J51" s="252"/>
      <c r="K51" s="252"/>
      <c r="L51" s="259"/>
      <c r="M51" s="259"/>
      <c r="N51" s="259"/>
      <c r="O51" s="259"/>
      <c r="P51" s="259"/>
      <c r="Q51" s="2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253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54"/>
      <c r="S52" s="254"/>
      <c r="T52" s="25"/>
      <c r="U52" s="25"/>
      <c r="V52" s="25"/>
      <c r="W52" s="165"/>
      <c r="X52" s="260"/>
      <c r="Y52" s="260"/>
      <c r="Z52" s="167"/>
      <c r="AA52" s="168"/>
      <c r="AB52" s="711">
        <f>SUM(AB50:AC50)</f>
        <v>148.63647058823531</v>
      </c>
      <c r="AC52" s="711"/>
      <c r="AD52" s="169" t="s">
        <v>57</v>
      </c>
      <c r="AE52" s="25"/>
      <c r="AF52" s="25"/>
      <c r="AG52" s="25"/>
      <c r="AH52" s="712">
        <f>SUM(AH49:AK50)</f>
        <v>4457.5296348529419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111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251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45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111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132.49</v>
      </c>
      <c r="T54" s="556"/>
      <c r="U54" s="23" t="s">
        <v>48</v>
      </c>
      <c r="V54" s="172" t="s">
        <v>110</v>
      </c>
      <c r="W54" s="173">
        <f>W43</f>
        <v>14.55</v>
      </c>
      <c r="X54" s="258" t="s">
        <v>112</v>
      </c>
      <c r="Y54" s="259" t="s">
        <v>113</v>
      </c>
      <c r="Z54" s="665">
        <f>IF('様式11-5'!U$1="LPG",0,N$22)</f>
        <v>0</v>
      </c>
      <c r="AA54" s="665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54"/>
      <c r="S55" s="254"/>
      <c r="T55" s="25"/>
      <c r="U55" s="25"/>
      <c r="V55" s="25"/>
      <c r="W55" s="165"/>
      <c r="X55" s="260"/>
      <c r="Y55" s="260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52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251" t="s">
        <v>51</v>
      </c>
      <c r="AD56" s="28"/>
      <c r="AE56" s="28"/>
      <c r="AF56" s="28"/>
      <c r="AG56" s="28"/>
      <c r="AH56" s="640">
        <f>IF(AH44+AH45=0,0,R56*AB56)</f>
        <v>1320</v>
      </c>
      <c r="AI56" s="641"/>
      <c r="AJ56" s="641"/>
      <c r="AK56" s="642"/>
      <c r="AL56" s="617" t="s">
        <v>52</v>
      </c>
      <c r="AM56" s="618"/>
      <c r="AN56" s="594">
        <f>AN45</f>
        <v>6</v>
      </c>
      <c r="AO56" s="595"/>
      <c r="AP56" s="613" t="s">
        <v>45</v>
      </c>
      <c r="AQ56" s="614"/>
      <c r="AR56" s="625">
        <f>AN56*X58/1000</f>
        <v>0.12423529411764707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20.705882352941178</v>
      </c>
      <c r="Y57" s="644"/>
      <c r="Z57" s="23" t="s">
        <v>46</v>
      </c>
      <c r="AA57" s="23"/>
      <c r="AB57" s="23"/>
      <c r="AC57" s="24"/>
      <c r="AD57" s="23"/>
      <c r="AE57" s="23"/>
      <c r="AF57" s="23"/>
      <c r="AG57" s="23"/>
      <c r="AH57" s="558">
        <f>R57*X57</f>
        <v>9110.5882352941189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54"/>
      <c r="S58" s="254"/>
      <c r="T58" s="25"/>
      <c r="U58" s="25"/>
      <c r="V58" s="25"/>
      <c r="W58" s="165"/>
      <c r="X58" s="716">
        <f>SUM(X57:Y57)</f>
        <v>20.705882352941178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10430.588235294119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1285.8699999999999</v>
      </c>
      <c r="S60" s="548"/>
      <c r="T60" s="28" t="s">
        <v>71</v>
      </c>
      <c r="U60" s="28"/>
      <c r="V60" s="28"/>
      <c r="W60" s="549">
        <f>$W$27</f>
        <v>0.78323529411764725</v>
      </c>
      <c r="X60" s="549"/>
      <c r="Y60" s="28" t="s">
        <v>70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856.06795250000016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72</v>
      </c>
      <c r="AQ60" s="662"/>
      <c r="AR60" s="663">
        <f>AN60*AB63/1000</f>
        <v>2.8555079411764713E-2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62</v>
      </c>
      <c r="U61" s="149">
        <f>$U$28</f>
        <v>7.29</v>
      </c>
      <c r="V61" s="148" t="s">
        <v>62</v>
      </c>
      <c r="W61" s="150">
        <f>$W$28</f>
        <v>3.45</v>
      </c>
      <c r="X61" s="151" t="s">
        <v>64</v>
      </c>
      <c r="Y61" s="24" t="s">
        <v>61</v>
      </c>
      <c r="Z61" s="151"/>
      <c r="AA61" s="32"/>
      <c r="AB61" s="702">
        <f>P$16+P$18+P$20</f>
        <v>63.597058823529423</v>
      </c>
      <c r="AC61" s="702"/>
      <c r="AD61" s="24" t="s">
        <v>63</v>
      </c>
      <c r="AE61" s="24"/>
      <c r="AF61" s="24"/>
      <c r="AG61" s="152"/>
      <c r="AH61" s="648">
        <f>(S61+U61+W61)*AB61</f>
        <v>1540.9567352941178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255"/>
      <c r="J62" s="252"/>
      <c r="K62" s="252"/>
      <c r="L62" s="259"/>
      <c r="M62" s="259"/>
      <c r="N62" s="259"/>
      <c r="O62" s="259"/>
      <c r="P62" s="259"/>
      <c r="Q62" s="2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253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54"/>
      <c r="S63" s="254"/>
      <c r="T63" s="25"/>
      <c r="U63" s="25"/>
      <c r="V63" s="25"/>
      <c r="W63" s="165"/>
      <c r="X63" s="260"/>
      <c r="Y63" s="260"/>
      <c r="Z63" s="167"/>
      <c r="AA63" s="168"/>
      <c r="AB63" s="711">
        <f>SUM(AB61:AC61)</f>
        <v>63.597058823529423</v>
      </c>
      <c r="AC63" s="711"/>
      <c r="AD63" s="169" t="s">
        <v>57</v>
      </c>
      <c r="AE63" s="25"/>
      <c r="AF63" s="25"/>
      <c r="AG63" s="25"/>
      <c r="AH63" s="712">
        <f>SUM(AH60:AK61)</f>
        <v>2397.0246877941181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111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251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45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111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110</v>
      </c>
      <c r="W65" s="173">
        <f>W54</f>
        <v>14.55</v>
      </c>
      <c r="X65" s="258" t="s">
        <v>112</v>
      </c>
      <c r="Y65" s="259" t="s">
        <v>113</v>
      </c>
      <c r="Z65" s="719">
        <f>IF('様式11-5'!U$1="LPG",0,P$22)</f>
        <v>0</v>
      </c>
      <c r="AA65" s="719"/>
      <c r="AB65" s="23" t="s">
        <v>46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54"/>
      <c r="S66" s="254"/>
      <c r="T66" s="25"/>
      <c r="U66" s="25"/>
      <c r="V66" s="25"/>
      <c r="W66" s="165"/>
      <c r="X66" s="260"/>
      <c r="Y66" s="260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52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251" t="s">
        <v>51</v>
      </c>
      <c r="AD67" s="28"/>
      <c r="AE67" s="28"/>
      <c r="AF67" s="28"/>
      <c r="AG67" s="28"/>
      <c r="AH67" s="640">
        <f>IF(AH55+AH56=0,0,R67*AB67)</f>
        <v>1320</v>
      </c>
      <c r="AI67" s="641"/>
      <c r="AJ67" s="641"/>
      <c r="AK67" s="642"/>
      <c r="AL67" s="617" t="s">
        <v>52</v>
      </c>
      <c r="AM67" s="618"/>
      <c r="AN67" s="594">
        <f>AN34</f>
        <v>6</v>
      </c>
      <c r="AO67" s="595"/>
      <c r="AP67" s="613" t="s">
        <v>45</v>
      </c>
      <c r="AQ67" s="614"/>
      <c r="AR67" s="625">
        <f>AN67*X69/1000</f>
        <v>4.5882352941176464E-2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7.6470588235294112</v>
      </c>
      <c r="Y68" s="644"/>
      <c r="Z68" s="23" t="s">
        <v>46</v>
      </c>
      <c r="AA68" s="23"/>
      <c r="AB68" s="23"/>
      <c r="AC68" s="24"/>
      <c r="AD68" s="23"/>
      <c r="AE68" s="23"/>
      <c r="AF68" s="23"/>
      <c r="AG68" s="23"/>
      <c r="AH68" s="558">
        <f>R68*X68</f>
        <v>3364.705882352941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54"/>
      <c r="S69" s="254"/>
      <c r="T69" s="25"/>
      <c r="U69" s="25"/>
      <c r="V69" s="25"/>
      <c r="W69" s="165"/>
      <c r="X69" s="716">
        <f>SUM(X68:Y68)</f>
        <v>7.6470588235294112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4684.7058823529405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1285.8699999999999</v>
      </c>
      <c r="S71" s="548"/>
      <c r="T71" s="28" t="s">
        <v>71</v>
      </c>
      <c r="U71" s="28"/>
      <c r="V71" s="28"/>
      <c r="W71" s="549">
        <f>$W$27</f>
        <v>0.78323529411764725</v>
      </c>
      <c r="X71" s="549"/>
      <c r="Y71" s="28" t="s">
        <v>70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856.06795250000016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72</v>
      </c>
      <c r="AQ71" s="662"/>
      <c r="AR71" s="663">
        <f>AN71*AB74/1000</f>
        <v>5.8951058823529428E-3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157</v>
      </c>
      <c r="S72" s="33">
        <f>IF(P72="夏季",料金単価!$D$3,料金単価!$E$3)</f>
        <v>12.63</v>
      </c>
      <c r="T72" s="148" t="s">
        <v>62</v>
      </c>
      <c r="U72" s="149">
        <f>$U$28</f>
        <v>7.29</v>
      </c>
      <c r="V72" s="148" t="s">
        <v>62</v>
      </c>
      <c r="W72" s="150">
        <f>$W$28</f>
        <v>3.45</v>
      </c>
      <c r="X72" s="151" t="s">
        <v>64</v>
      </c>
      <c r="Y72" s="24" t="s">
        <v>61</v>
      </c>
      <c r="Z72" s="151"/>
      <c r="AA72" s="32"/>
      <c r="AB72" s="702">
        <f>R$17+R$19+R$21</f>
        <v>13.129411764705885</v>
      </c>
      <c r="AC72" s="702"/>
      <c r="AD72" s="24" t="s">
        <v>63</v>
      </c>
      <c r="AE72" s="24"/>
      <c r="AF72" s="24"/>
      <c r="AG72" s="152"/>
      <c r="AH72" s="648">
        <f>(S72+U72+W72)*AB72</f>
        <v>306.83435294117658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255"/>
      <c r="J73" s="252"/>
      <c r="K73" s="252"/>
      <c r="L73" s="259"/>
      <c r="M73" s="259"/>
      <c r="N73" s="259"/>
      <c r="O73" s="259"/>
      <c r="P73" s="259"/>
      <c r="Q73" s="2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253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54"/>
      <c r="S74" s="254"/>
      <c r="T74" s="25"/>
      <c r="U74" s="25"/>
      <c r="V74" s="25"/>
      <c r="W74" s="165"/>
      <c r="X74" s="260"/>
      <c r="Y74" s="260"/>
      <c r="Z74" s="167"/>
      <c r="AA74" s="168"/>
      <c r="AB74" s="711">
        <f>SUM(AB72:AC72)</f>
        <v>13.129411764705885</v>
      </c>
      <c r="AC74" s="711"/>
      <c r="AD74" s="169" t="s">
        <v>57</v>
      </c>
      <c r="AE74" s="25"/>
      <c r="AF74" s="25"/>
      <c r="AG74" s="25"/>
      <c r="AH74" s="712">
        <f>SUM(AH71:AK72)</f>
        <v>1162.9023054411768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111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251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45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111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110</v>
      </c>
      <c r="W76" s="173">
        <f>W65</f>
        <v>14.55</v>
      </c>
      <c r="X76" s="258" t="s">
        <v>112</v>
      </c>
      <c r="Y76" s="259" t="s">
        <v>113</v>
      </c>
      <c r="Z76" s="665">
        <f>IF('様式11-5'!U$1="LPG",0,R$22)</f>
        <v>0</v>
      </c>
      <c r="AA76" s="665"/>
      <c r="AB76" s="23" t="s">
        <v>46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54"/>
      <c r="S77" s="254"/>
      <c r="T77" s="25"/>
      <c r="U77" s="25"/>
      <c r="V77" s="25"/>
      <c r="W77" s="165"/>
      <c r="X77" s="260"/>
      <c r="Y77" s="260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52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251" t="s">
        <v>51</v>
      </c>
      <c r="AD78" s="28"/>
      <c r="AE78" s="28"/>
      <c r="AF78" s="28"/>
      <c r="AG78" s="28"/>
      <c r="AH78" s="640">
        <f>IF(AH66+AH67=0,0,R78*AB78)</f>
        <v>1320</v>
      </c>
      <c r="AI78" s="641"/>
      <c r="AJ78" s="641"/>
      <c r="AK78" s="642"/>
      <c r="AL78" s="617" t="s">
        <v>52</v>
      </c>
      <c r="AM78" s="618"/>
      <c r="AN78" s="594">
        <f>AN45</f>
        <v>6</v>
      </c>
      <c r="AO78" s="595"/>
      <c r="AP78" s="613" t="s">
        <v>45</v>
      </c>
      <c r="AQ78" s="614"/>
      <c r="AR78" s="625">
        <f>AN78*X80/1000</f>
        <v>4.5882352941176464E-2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7.6470588235294112</v>
      </c>
      <c r="Y79" s="644"/>
      <c r="Z79" s="23" t="s">
        <v>46</v>
      </c>
      <c r="AA79" s="23"/>
      <c r="AB79" s="23"/>
      <c r="AC79" s="24"/>
      <c r="AD79" s="23"/>
      <c r="AE79" s="23"/>
      <c r="AF79" s="23"/>
      <c r="AG79" s="23"/>
      <c r="AH79" s="558">
        <f>R79*X79</f>
        <v>3364.705882352941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54"/>
      <c r="S80" s="254"/>
      <c r="T80" s="25"/>
      <c r="U80" s="25"/>
      <c r="V80" s="25"/>
      <c r="W80" s="165"/>
      <c r="X80" s="716">
        <f>SUM(X79:Y79)</f>
        <v>7.6470588235294112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4684.7058823529405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1285.8699999999999</v>
      </c>
      <c r="S82" s="548"/>
      <c r="T82" s="28" t="s">
        <v>71</v>
      </c>
      <c r="U82" s="28"/>
      <c r="V82" s="28"/>
      <c r="W82" s="549">
        <f>$W$27</f>
        <v>0.78323529411764725</v>
      </c>
      <c r="X82" s="549"/>
      <c r="Y82" s="28" t="s">
        <v>70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856.06795250000016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72</v>
      </c>
      <c r="AQ82" s="662"/>
      <c r="AR82" s="663">
        <f>AN82*AB85/1000</f>
        <v>5.7049411764705897E-3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197</v>
      </c>
      <c r="Q83" s="646"/>
      <c r="R83" s="34" t="s">
        <v>157</v>
      </c>
      <c r="S83" s="33">
        <f>IF(P83="夏季",料金単価!$D$3,料金単価!$E$3)</f>
        <v>12.63</v>
      </c>
      <c r="T83" s="148" t="s">
        <v>62</v>
      </c>
      <c r="U83" s="149">
        <f>$U$28</f>
        <v>7.29</v>
      </c>
      <c r="V83" s="148" t="s">
        <v>62</v>
      </c>
      <c r="W83" s="150">
        <f>$W$28</f>
        <v>3.45</v>
      </c>
      <c r="X83" s="151" t="s">
        <v>64</v>
      </c>
      <c r="Y83" s="24" t="s">
        <v>61</v>
      </c>
      <c r="Z83" s="151"/>
      <c r="AA83" s="32"/>
      <c r="AB83" s="702">
        <f>T$17+T$19+T$21</f>
        <v>12.705882352941179</v>
      </c>
      <c r="AC83" s="702"/>
      <c r="AD83" s="24" t="s">
        <v>63</v>
      </c>
      <c r="AE83" s="24"/>
      <c r="AF83" s="24"/>
      <c r="AG83" s="152"/>
      <c r="AH83" s="648">
        <f>(S83+U83+W83)*AB83</f>
        <v>296.93647058823535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255"/>
      <c r="J84" s="252"/>
      <c r="K84" s="252"/>
      <c r="L84" s="259"/>
      <c r="M84" s="259"/>
      <c r="N84" s="259"/>
      <c r="O84" s="259"/>
      <c r="P84" s="259"/>
      <c r="Q84" s="2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253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54"/>
      <c r="S85" s="254"/>
      <c r="T85" s="25"/>
      <c r="U85" s="25"/>
      <c r="V85" s="25"/>
      <c r="W85" s="165"/>
      <c r="X85" s="260"/>
      <c r="Y85" s="260"/>
      <c r="Z85" s="167"/>
      <c r="AA85" s="168"/>
      <c r="AB85" s="711">
        <f>SUM(AB83:AC83)</f>
        <v>12.705882352941179</v>
      </c>
      <c r="AC85" s="711"/>
      <c r="AD85" s="169" t="s">
        <v>57</v>
      </c>
      <c r="AE85" s="25"/>
      <c r="AF85" s="25"/>
      <c r="AG85" s="25"/>
      <c r="AH85" s="712">
        <f>SUM(AH82:AK83)</f>
        <v>1153.0044230882354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111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251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45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111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110</v>
      </c>
      <c r="W87" s="173">
        <f>W76</f>
        <v>14.55</v>
      </c>
      <c r="X87" s="258" t="s">
        <v>112</v>
      </c>
      <c r="Y87" s="259" t="s">
        <v>113</v>
      </c>
      <c r="Z87" s="665">
        <f>IF('様式11-5'!U$1="LPG",0,T$22)</f>
        <v>0</v>
      </c>
      <c r="AA87" s="665"/>
      <c r="AB87" s="23" t="s">
        <v>46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54"/>
      <c r="S88" s="254"/>
      <c r="T88" s="25"/>
      <c r="U88" s="25"/>
      <c r="V88" s="25"/>
      <c r="W88" s="165"/>
      <c r="X88" s="260"/>
      <c r="Y88" s="260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52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251" t="s">
        <v>51</v>
      </c>
      <c r="AD89" s="28"/>
      <c r="AE89" s="28"/>
      <c r="AF89" s="28"/>
      <c r="AG89" s="28"/>
      <c r="AH89" s="640">
        <f>IF(AH77+AH78=0,0,R89*AB89)</f>
        <v>1320</v>
      </c>
      <c r="AI89" s="641"/>
      <c r="AJ89" s="641"/>
      <c r="AK89" s="642"/>
      <c r="AL89" s="617" t="s">
        <v>52</v>
      </c>
      <c r="AM89" s="618"/>
      <c r="AN89" s="594">
        <f>AN56</f>
        <v>6</v>
      </c>
      <c r="AO89" s="595"/>
      <c r="AP89" s="613" t="s">
        <v>45</v>
      </c>
      <c r="AQ89" s="614"/>
      <c r="AR89" s="625">
        <f>AN89*X91/1000</f>
        <v>4.5882352941176464E-2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7.6470588235294112</v>
      </c>
      <c r="Y90" s="644"/>
      <c r="Z90" s="23" t="s">
        <v>46</v>
      </c>
      <c r="AA90" s="23"/>
      <c r="AB90" s="23"/>
      <c r="AC90" s="24"/>
      <c r="AD90" s="23"/>
      <c r="AE90" s="23"/>
      <c r="AF90" s="23"/>
      <c r="AG90" s="23"/>
      <c r="AH90" s="558">
        <f>R90*X90</f>
        <v>3364.705882352941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54"/>
      <c r="S91" s="254"/>
      <c r="T91" s="25"/>
      <c r="U91" s="25"/>
      <c r="V91" s="25"/>
      <c r="W91" s="165"/>
      <c r="X91" s="716">
        <f>SUM(X90:Y90)</f>
        <v>7.6470588235294112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4684.7058823529405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1285.8699999999999</v>
      </c>
      <c r="S93" s="548"/>
      <c r="T93" s="28" t="s">
        <v>71</v>
      </c>
      <c r="U93" s="28"/>
      <c r="V93" s="28"/>
      <c r="W93" s="549">
        <f>$W$27</f>
        <v>0.78323529411764725</v>
      </c>
      <c r="X93" s="549"/>
      <c r="Y93" s="28" t="s">
        <v>70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856.06795250000016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72</v>
      </c>
      <c r="AQ93" s="662"/>
      <c r="AR93" s="663">
        <f>AN93*AB96/1000</f>
        <v>0.1965722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203</v>
      </c>
      <c r="M94" s="618"/>
      <c r="N94" s="618"/>
      <c r="O94" s="678"/>
      <c r="P94" s="643" t="s">
        <v>197</v>
      </c>
      <c r="Q94" s="646"/>
      <c r="R94" s="34" t="s">
        <v>157</v>
      </c>
      <c r="S94" s="33">
        <f>IF(P94="夏季",料金単価!$D$3,料金単価!$E$3)</f>
        <v>12.63</v>
      </c>
      <c r="T94" s="148" t="s">
        <v>62</v>
      </c>
      <c r="U94" s="149">
        <f>$U$28</f>
        <v>7.29</v>
      </c>
      <c r="V94" s="148" t="s">
        <v>62</v>
      </c>
      <c r="W94" s="150">
        <f>$W$28</f>
        <v>3.45</v>
      </c>
      <c r="X94" s="151" t="s">
        <v>64</v>
      </c>
      <c r="Y94" s="24" t="s">
        <v>61</v>
      </c>
      <c r="Z94" s="151"/>
      <c r="AA94" s="32"/>
      <c r="AB94" s="702">
        <f>V$17+V$19+V$21</f>
        <v>437.8</v>
      </c>
      <c r="AC94" s="702"/>
      <c r="AD94" s="24" t="s">
        <v>63</v>
      </c>
      <c r="AE94" s="24"/>
      <c r="AF94" s="24"/>
      <c r="AG94" s="152"/>
      <c r="AH94" s="648">
        <f>(S94+U94+W94)*AB94</f>
        <v>10231.386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255"/>
      <c r="J95" s="252"/>
      <c r="K95" s="252"/>
      <c r="L95" s="259"/>
      <c r="M95" s="259"/>
      <c r="N95" s="259"/>
      <c r="O95" s="259"/>
      <c r="P95" s="259"/>
      <c r="Q95" s="2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253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54"/>
      <c r="S96" s="254"/>
      <c r="T96" s="25"/>
      <c r="U96" s="25"/>
      <c r="V96" s="25"/>
      <c r="W96" s="165"/>
      <c r="X96" s="260"/>
      <c r="Y96" s="260"/>
      <c r="Z96" s="167"/>
      <c r="AA96" s="168"/>
      <c r="AB96" s="711">
        <f>SUM(AB94:AC94)</f>
        <v>437.8</v>
      </c>
      <c r="AC96" s="711"/>
      <c r="AD96" s="169" t="s">
        <v>57</v>
      </c>
      <c r="AE96" s="25"/>
      <c r="AF96" s="25"/>
      <c r="AG96" s="25"/>
      <c r="AH96" s="712">
        <f>SUM(AH93:AK94)</f>
        <v>11087.4539525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111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251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45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111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110</v>
      </c>
      <c r="W98" s="173">
        <f>W87</f>
        <v>14.55</v>
      </c>
      <c r="X98" s="258" t="s">
        <v>112</v>
      </c>
      <c r="Y98" s="259" t="s">
        <v>113</v>
      </c>
      <c r="Z98" s="665">
        <f>IF('様式11-5'!U$1="LPG",0,V$23)</f>
        <v>0</v>
      </c>
      <c r="AA98" s="665"/>
      <c r="AB98" s="23" t="s">
        <v>46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54"/>
      <c r="S99" s="254"/>
      <c r="T99" s="25"/>
      <c r="U99" s="25"/>
      <c r="V99" s="25"/>
      <c r="W99" s="165"/>
      <c r="X99" s="260"/>
      <c r="Y99" s="260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52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251" t="s">
        <v>51</v>
      </c>
      <c r="AD100" s="28"/>
      <c r="AE100" s="28"/>
      <c r="AF100" s="28"/>
      <c r="AG100" s="28"/>
      <c r="AH100" s="640">
        <f>IF(AH88+AH89=0,0,R100*AB100)</f>
        <v>1320</v>
      </c>
      <c r="AI100" s="641"/>
      <c r="AJ100" s="641"/>
      <c r="AK100" s="642"/>
      <c r="AL100" s="617" t="s">
        <v>52</v>
      </c>
      <c r="AM100" s="618"/>
      <c r="AN100" s="594">
        <f>AN34</f>
        <v>6</v>
      </c>
      <c r="AO100" s="595"/>
      <c r="AP100" s="613" t="s">
        <v>45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46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54"/>
      <c r="S102" s="254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1320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1285.8699999999999</v>
      </c>
      <c r="S104" s="548"/>
      <c r="T104" s="28" t="s">
        <v>71</v>
      </c>
      <c r="U104" s="28"/>
      <c r="V104" s="28"/>
      <c r="W104" s="549">
        <f>$W$27</f>
        <v>0.78323529411764725</v>
      </c>
      <c r="X104" s="549"/>
      <c r="Y104" s="28" t="s">
        <v>70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856.06795250000016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72</v>
      </c>
      <c r="AQ104" s="662"/>
      <c r="AR104" s="663">
        <f>AN104*AB107/1000</f>
        <v>0.24692596529411762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203</v>
      </c>
      <c r="M105" s="618"/>
      <c r="N105" s="618"/>
      <c r="O105" s="678"/>
      <c r="P105" s="643" t="s">
        <v>197</v>
      </c>
      <c r="Q105" s="646"/>
      <c r="R105" s="34" t="s">
        <v>157</v>
      </c>
      <c r="S105" s="33">
        <f>IF(P105="夏季",料金単価!$D$3,料金単価!$E$3)</f>
        <v>12.63</v>
      </c>
      <c r="T105" s="148" t="s">
        <v>62</v>
      </c>
      <c r="U105" s="149">
        <f>$U$28</f>
        <v>7.29</v>
      </c>
      <c r="V105" s="148" t="s">
        <v>62</v>
      </c>
      <c r="W105" s="150">
        <f>$W$28</f>
        <v>3.45</v>
      </c>
      <c r="X105" s="151" t="s">
        <v>64</v>
      </c>
      <c r="Y105" s="24" t="s">
        <v>61</v>
      </c>
      <c r="Z105" s="151"/>
      <c r="AA105" s="32"/>
      <c r="AB105" s="702">
        <f>X$17+X$19+X$21</f>
        <v>549.94647058823523</v>
      </c>
      <c r="AC105" s="702"/>
      <c r="AD105" s="24" t="s">
        <v>63</v>
      </c>
      <c r="AE105" s="24"/>
      <c r="AF105" s="24"/>
      <c r="AG105" s="152"/>
      <c r="AH105" s="648">
        <f>(S105+U105+W105)*AB105</f>
        <v>12852.249017647058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255"/>
      <c r="J106" s="252"/>
      <c r="K106" s="252"/>
      <c r="L106" s="259"/>
      <c r="M106" s="259"/>
      <c r="N106" s="259"/>
      <c r="O106" s="259"/>
      <c r="P106" s="259"/>
      <c r="Q106" s="2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253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54"/>
      <c r="S107" s="254"/>
      <c r="T107" s="25"/>
      <c r="U107" s="25"/>
      <c r="V107" s="25"/>
      <c r="W107" s="165"/>
      <c r="X107" s="260"/>
      <c r="Y107" s="260"/>
      <c r="Z107" s="167"/>
      <c r="AA107" s="168"/>
      <c r="AB107" s="711">
        <f>SUM(AB105:AC105)</f>
        <v>549.94647058823523</v>
      </c>
      <c r="AC107" s="711"/>
      <c r="AD107" s="169" t="s">
        <v>57</v>
      </c>
      <c r="AE107" s="25"/>
      <c r="AF107" s="25"/>
      <c r="AG107" s="25"/>
      <c r="AH107" s="712">
        <f>SUM(AH104:AK105)</f>
        <v>13708.316970147058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111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251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45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111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110</v>
      </c>
      <c r="W109" s="173">
        <f>W98</f>
        <v>14.55</v>
      </c>
      <c r="X109" s="258" t="s">
        <v>112</v>
      </c>
      <c r="Y109" s="259" t="s">
        <v>113</v>
      </c>
      <c r="Z109" s="665">
        <f>IF('様式11-5'!U$1="LPG",0,X$23)</f>
        <v>0</v>
      </c>
      <c r="AA109" s="665"/>
      <c r="AB109" s="23" t="s">
        <v>46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54"/>
      <c r="S110" s="254"/>
      <c r="T110" s="25"/>
      <c r="U110" s="25"/>
      <c r="V110" s="25"/>
      <c r="W110" s="165"/>
      <c r="X110" s="260"/>
      <c r="Y110" s="260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52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251" t="s">
        <v>51</v>
      </c>
      <c r="AD111" s="28"/>
      <c r="AE111" s="28"/>
      <c r="AF111" s="28"/>
      <c r="AG111" s="28"/>
      <c r="AH111" s="640">
        <f>IF(AH99+AH100=0,0,R111*AB111)</f>
        <v>1320</v>
      </c>
      <c r="AI111" s="641"/>
      <c r="AJ111" s="641"/>
      <c r="AK111" s="642"/>
      <c r="AL111" s="617" t="s">
        <v>52</v>
      </c>
      <c r="AM111" s="618"/>
      <c r="AN111" s="594">
        <f>AN34</f>
        <v>6</v>
      </c>
      <c r="AO111" s="595"/>
      <c r="AP111" s="613" t="s">
        <v>45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46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54"/>
      <c r="S113" s="254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1320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1285.8699999999999</v>
      </c>
      <c r="S115" s="548"/>
      <c r="T115" s="28" t="s">
        <v>71</v>
      </c>
      <c r="U115" s="28"/>
      <c r="V115" s="28"/>
      <c r="W115" s="549">
        <f>$W$27</f>
        <v>0.78323529411764725</v>
      </c>
      <c r="X115" s="549"/>
      <c r="Y115" s="28" t="s">
        <v>70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856.06795250000016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72</v>
      </c>
      <c r="AQ115" s="662"/>
      <c r="AR115" s="663">
        <f>AN115*AB118/1000</f>
        <v>0.23366963647058817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197</v>
      </c>
      <c r="Q116" s="646"/>
      <c r="R116" s="34" t="s">
        <v>157</v>
      </c>
      <c r="S116" s="33">
        <f>IF(P116="夏季",料金単価!$D$3,料金単価!$E$3)</f>
        <v>12.63</v>
      </c>
      <c r="T116" s="148" t="s">
        <v>62</v>
      </c>
      <c r="U116" s="149">
        <f>$U$28</f>
        <v>7.29</v>
      </c>
      <c r="V116" s="148" t="s">
        <v>62</v>
      </c>
      <c r="W116" s="150">
        <f>$W$28</f>
        <v>3.45</v>
      </c>
      <c r="X116" s="151" t="s">
        <v>64</v>
      </c>
      <c r="Y116" s="24" t="s">
        <v>61</v>
      </c>
      <c r="Z116" s="151"/>
      <c r="AA116" s="32"/>
      <c r="AB116" s="702">
        <f>Z$17+Z$19+Z21</f>
        <v>520.42235294117631</v>
      </c>
      <c r="AC116" s="702"/>
      <c r="AD116" s="24" t="s">
        <v>63</v>
      </c>
      <c r="AE116" s="24"/>
      <c r="AF116" s="24"/>
      <c r="AG116" s="152"/>
      <c r="AH116" s="648">
        <f>(S116+U116+W116)*AB116</f>
        <v>12162.270388235291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255"/>
      <c r="J117" s="252"/>
      <c r="K117" s="252"/>
      <c r="L117" s="259"/>
      <c r="M117" s="259"/>
      <c r="N117" s="259"/>
      <c r="O117" s="259"/>
      <c r="P117" s="259"/>
      <c r="Q117" s="2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253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54"/>
      <c r="S118" s="254"/>
      <c r="T118" s="25"/>
      <c r="U118" s="25"/>
      <c r="V118" s="25"/>
      <c r="W118" s="165"/>
      <c r="X118" s="260"/>
      <c r="Y118" s="260"/>
      <c r="Z118" s="167"/>
      <c r="AA118" s="168"/>
      <c r="AB118" s="711">
        <f>SUM(AB116:AC116)</f>
        <v>520.42235294117631</v>
      </c>
      <c r="AC118" s="711"/>
      <c r="AD118" s="169" t="s">
        <v>57</v>
      </c>
      <c r="AE118" s="25"/>
      <c r="AF118" s="25"/>
      <c r="AG118" s="25"/>
      <c r="AH118" s="712">
        <f>SUM(AH115:AK116)</f>
        <v>13018.33834073529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111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251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45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111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110</v>
      </c>
      <c r="W120" s="173">
        <f>W109</f>
        <v>14.55</v>
      </c>
      <c r="X120" s="258" t="s">
        <v>112</v>
      </c>
      <c r="Y120" s="259" t="s">
        <v>113</v>
      </c>
      <c r="Z120" s="665">
        <f>IF('様式11-5'!U$1="LPG",0,Z$23)</f>
        <v>0</v>
      </c>
      <c r="AA120" s="665"/>
      <c r="AB120" s="23" t="s">
        <v>46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54"/>
      <c r="S121" s="254"/>
      <c r="T121" s="25"/>
      <c r="U121" s="25"/>
      <c r="V121" s="25"/>
      <c r="W121" s="165"/>
      <c r="X121" s="260"/>
      <c r="Y121" s="260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52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251" t="s">
        <v>51</v>
      </c>
      <c r="AD122" s="28"/>
      <c r="AE122" s="28"/>
      <c r="AF122" s="28"/>
      <c r="AG122" s="28"/>
      <c r="AH122" s="640">
        <f>IF(AH110+AH111=0,0,R122*AB122)</f>
        <v>1320</v>
      </c>
      <c r="AI122" s="641"/>
      <c r="AJ122" s="641"/>
      <c r="AK122" s="642"/>
      <c r="AL122" s="617" t="s">
        <v>52</v>
      </c>
      <c r="AM122" s="618"/>
      <c r="AN122" s="594">
        <f>AN34</f>
        <v>6</v>
      </c>
      <c r="AO122" s="595"/>
      <c r="AP122" s="613" t="s">
        <v>45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46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54"/>
      <c r="S124" s="254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1320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1285.8699999999999</v>
      </c>
      <c r="S126" s="548"/>
      <c r="T126" s="28" t="s">
        <v>71</v>
      </c>
      <c r="U126" s="28"/>
      <c r="V126" s="28"/>
      <c r="W126" s="549">
        <f>$W$27</f>
        <v>0.78323529411764725</v>
      </c>
      <c r="X126" s="549"/>
      <c r="Y126" s="28" t="s">
        <v>70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856.06795250000016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72</v>
      </c>
      <c r="AQ126" s="662"/>
      <c r="AR126" s="663">
        <f>AN126*AB129/1000</f>
        <v>0.10995059176470588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203</v>
      </c>
      <c r="M127" s="618"/>
      <c r="N127" s="618"/>
      <c r="O127" s="678"/>
      <c r="P127" s="643" t="s">
        <v>197</v>
      </c>
      <c r="Q127" s="646"/>
      <c r="R127" s="34" t="s">
        <v>157</v>
      </c>
      <c r="S127" s="33">
        <f>IF(P127="夏季",料金単価!$D$3,料金単価!$E$3)</f>
        <v>12.63</v>
      </c>
      <c r="T127" s="148" t="s">
        <v>62</v>
      </c>
      <c r="U127" s="149">
        <f>$U$28</f>
        <v>7.29</v>
      </c>
      <c r="V127" s="148" t="s">
        <v>62</v>
      </c>
      <c r="W127" s="150">
        <f>$W$28</f>
        <v>3.45</v>
      </c>
      <c r="X127" s="151" t="s">
        <v>64</v>
      </c>
      <c r="Y127" s="24" t="s">
        <v>61</v>
      </c>
      <c r="Z127" s="151"/>
      <c r="AA127" s="32"/>
      <c r="AB127" s="702">
        <f>AB$17+AB$19+AB21</f>
        <v>244.87882352941176</v>
      </c>
      <c r="AC127" s="702"/>
      <c r="AD127" s="24" t="s">
        <v>63</v>
      </c>
      <c r="AE127" s="24"/>
      <c r="AF127" s="24"/>
      <c r="AG127" s="152"/>
      <c r="AH127" s="648">
        <f>(S127+U127+W127)*AB127</f>
        <v>5722.8181058823529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255"/>
      <c r="J128" s="252"/>
      <c r="K128" s="252"/>
      <c r="L128" s="259"/>
      <c r="M128" s="259"/>
      <c r="N128" s="259"/>
      <c r="O128" s="259"/>
      <c r="P128" s="259"/>
      <c r="Q128" s="2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253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54"/>
      <c r="S129" s="254"/>
      <c r="T129" s="25"/>
      <c r="U129" s="25"/>
      <c r="V129" s="25"/>
      <c r="W129" s="165"/>
      <c r="X129" s="260"/>
      <c r="Y129" s="260"/>
      <c r="Z129" s="167"/>
      <c r="AA129" s="168"/>
      <c r="AB129" s="711">
        <f>SUM(AB127:AC127)</f>
        <v>244.87882352941176</v>
      </c>
      <c r="AC129" s="711"/>
      <c r="AD129" s="169" t="s">
        <v>57</v>
      </c>
      <c r="AE129" s="25"/>
      <c r="AF129" s="25"/>
      <c r="AG129" s="25"/>
      <c r="AH129" s="712">
        <f>SUM(AH126:AK127)</f>
        <v>6578.8860583823534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111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251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45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111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110</v>
      </c>
      <c r="W131" s="173">
        <f>W120</f>
        <v>14.55</v>
      </c>
      <c r="X131" s="258" t="s">
        <v>112</v>
      </c>
      <c r="Y131" s="259" t="s">
        <v>113</v>
      </c>
      <c r="Z131" s="665">
        <f>IF('様式11-5'!U$1="LPG",0,AB$23)</f>
        <v>0</v>
      </c>
      <c r="AA131" s="665"/>
      <c r="AB131" s="23" t="s">
        <v>46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54"/>
      <c r="S132" s="254"/>
      <c r="T132" s="25"/>
      <c r="U132" s="25"/>
      <c r="V132" s="25"/>
      <c r="W132" s="165"/>
      <c r="X132" s="260"/>
      <c r="Y132" s="260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52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251" t="s">
        <v>51</v>
      </c>
      <c r="AD133" s="28"/>
      <c r="AE133" s="28"/>
      <c r="AF133" s="28"/>
      <c r="AG133" s="28"/>
      <c r="AH133" s="640">
        <f>IF(AH121+AH122=0,0,R133*AB133)</f>
        <v>1320</v>
      </c>
      <c r="AI133" s="641"/>
      <c r="AJ133" s="641"/>
      <c r="AK133" s="642"/>
      <c r="AL133" s="617" t="s">
        <v>52</v>
      </c>
      <c r="AM133" s="618"/>
      <c r="AN133" s="594">
        <f>AN34</f>
        <v>6</v>
      </c>
      <c r="AO133" s="595"/>
      <c r="AP133" s="613" t="s">
        <v>45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46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54"/>
      <c r="S135" s="254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1320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1285.8699999999999</v>
      </c>
      <c r="S137" s="548"/>
      <c r="T137" s="28" t="s">
        <v>71</v>
      </c>
      <c r="U137" s="28"/>
      <c r="V137" s="28"/>
      <c r="W137" s="549">
        <f>$W$27</f>
        <v>0.78323529411764725</v>
      </c>
      <c r="X137" s="549"/>
      <c r="Y137" s="28" t="s">
        <v>70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856.06795250000016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72</v>
      </c>
      <c r="AQ137" s="662"/>
      <c r="AR137" s="663">
        <f>AN137*AB140/1000</f>
        <v>5.7049411764705897E-3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203</v>
      </c>
      <c r="M138" s="618"/>
      <c r="N138" s="618"/>
      <c r="O138" s="678"/>
      <c r="P138" s="643" t="s">
        <v>197</v>
      </c>
      <c r="Q138" s="646"/>
      <c r="R138" s="34" t="s">
        <v>157</v>
      </c>
      <c r="S138" s="33">
        <f>IF(P138="夏季",料金単価!$D$3,料金単価!$E$3)</f>
        <v>12.63</v>
      </c>
      <c r="T138" s="148" t="s">
        <v>62</v>
      </c>
      <c r="U138" s="149">
        <f>$U$28</f>
        <v>7.29</v>
      </c>
      <c r="V138" s="148" t="s">
        <v>62</v>
      </c>
      <c r="W138" s="150">
        <f>$W$28</f>
        <v>3.45</v>
      </c>
      <c r="X138" s="151" t="s">
        <v>64</v>
      </c>
      <c r="Y138" s="24" t="s">
        <v>61</v>
      </c>
      <c r="Z138" s="151"/>
      <c r="AA138" s="32"/>
      <c r="AB138" s="702">
        <f>AD$17+AD$19+AD$21</f>
        <v>12.705882352941179</v>
      </c>
      <c r="AC138" s="702"/>
      <c r="AD138" s="24" t="s">
        <v>63</v>
      </c>
      <c r="AE138" s="24"/>
      <c r="AF138" s="24"/>
      <c r="AG138" s="152"/>
      <c r="AH138" s="648">
        <f>(S138+U138+W138)*AB138</f>
        <v>296.93647058823535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255"/>
      <c r="J139" s="252"/>
      <c r="K139" s="252"/>
      <c r="L139" s="259"/>
      <c r="M139" s="259"/>
      <c r="N139" s="259"/>
      <c r="O139" s="259"/>
      <c r="P139" s="259"/>
      <c r="Q139" s="2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253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54"/>
      <c r="S140" s="254"/>
      <c r="T140" s="25"/>
      <c r="U140" s="25"/>
      <c r="V140" s="25"/>
      <c r="W140" s="165"/>
      <c r="X140" s="260"/>
      <c r="Y140" s="260"/>
      <c r="Z140" s="167"/>
      <c r="AA140" s="168"/>
      <c r="AB140" s="711">
        <f>SUM(AB138:AC138)</f>
        <v>12.705882352941179</v>
      </c>
      <c r="AC140" s="711"/>
      <c r="AD140" s="169" t="s">
        <v>57</v>
      </c>
      <c r="AE140" s="25"/>
      <c r="AF140" s="25"/>
      <c r="AG140" s="25"/>
      <c r="AH140" s="712">
        <f>SUM(AH137:AK138)</f>
        <v>1153.0044230882354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111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251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45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111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110</v>
      </c>
      <c r="W142" s="173">
        <f>W131</f>
        <v>14.55</v>
      </c>
      <c r="X142" s="258" t="s">
        <v>112</v>
      </c>
      <c r="Y142" s="259" t="s">
        <v>113</v>
      </c>
      <c r="Z142" s="665">
        <f>IF('様式11-5'!U$1="LPG",0,AD$22)</f>
        <v>0</v>
      </c>
      <c r="AA142" s="665"/>
      <c r="AB142" s="23" t="s">
        <v>46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54"/>
      <c r="S143" s="254"/>
      <c r="T143" s="25"/>
      <c r="U143" s="25"/>
      <c r="V143" s="25"/>
      <c r="W143" s="165"/>
      <c r="X143" s="260"/>
      <c r="Y143" s="260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52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251" t="s">
        <v>51</v>
      </c>
      <c r="AD144" s="28"/>
      <c r="AE144" s="28"/>
      <c r="AF144" s="28"/>
      <c r="AG144" s="28"/>
      <c r="AH144" s="640">
        <f>IF(AH132+AH133=0,0,R144*AB144)</f>
        <v>1320</v>
      </c>
      <c r="AI144" s="641"/>
      <c r="AJ144" s="641"/>
      <c r="AK144" s="642"/>
      <c r="AL144" s="617" t="s">
        <v>52</v>
      </c>
      <c r="AM144" s="618"/>
      <c r="AN144" s="594">
        <f>AN45</f>
        <v>6</v>
      </c>
      <c r="AO144" s="595"/>
      <c r="AP144" s="613" t="s">
        <v>45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46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54"/>
      <c r="S146" s="254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1320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1285.8699999999999</v>
      </c>
      <c r="S148" s="548"/>
      <c r="T148" s="28" t="s">
        <v>71</v>
      </c>
      <c r="U148" s="28"/>
      <c r="V148" s="28"/>
      <c r="W148" s="549">
        <f>$W$27</f>
        <v>0.78323529411764725</v>
      </c>
      <c r="X148" s="549"/>
      <c r="Y148" s="28" t="s">
        <v>70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856.06795250000016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72</v>
      </c>
      <c r="AQ148" s="662"/>
      <c r="AR148" s="663">
        <f>AN148*AB151/1000</f>
        <v>5.8951058823529428E-3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197</v>
      </c>
      <c r="Q149" s="646"/>
      <c r="R149" s="34" t="s">
        <v>157</v>
      </c>
      <c r="S149" s="33">
        <f>IF(P149="夏季",料金単価!$D$3,料金単価!$E$3)</f>
        <v>12.63</v>
      </c>
      <c r="T149" s="148" t="s">
        <v>62</v>
      </c>
      <c r="U149" s="149">
        <f>$U$28</f>
        <v>7.29</v>
      </c>
      <c r="V149" s="148" t="s">
        <v>62</v>
      </c>
      <c r="W149" s="150">
        <f>$W$28</f>
        <v>3.45</v>
      </c>
      <c r="X149" s="151" t="s">
        <v>64</v>
      </c>
      <c r="Y149" s="24" t="s">
        <v>61</v>
      </c>
      <c r="Z149" s="151"/>
      <c r="AA149" s="32"/>
      <c r="AB149" s="702">
        <f>AF$17+AF$19+AF$21</f>
        <v>13.129411764705885</v>
      </c>
      <c r="AC149" s="702"/>
      <c r="AD149" s="24" t="s">
        <v>63</v>
      </c>
      <c r="AE149" s="24"/>
      <c r="AF149" s="24"/>
      <c r="AG149" s="152"/>
      <c r="AH149" s="648">
        <f>(S149+U149+W149)*AB149</f>
        <v>306.83435294117658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255"/>
      <c r="J150" s="252"/>
      <c r="K150" s="252"/>
      <c r="L150" s="259"/>
      <c r="M150" s="259"/>
      <c r="N150" s="259"/>
      <c r="O150" s="259"/>
      <c r="P150" s="259"/>
      <c r="Q150" s="2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253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54"/>
      <c r="S151" s="254"/>
      <c r="T151" s="25"/>
      <c r="U151" s="25"/>
      <c r="V151" s="25"/>
      <c r="W151" s="165"/>
      <c r="X151" s="260"/>
      <c r="Y151" s="260"/>
      <c r="Z151" s="167"/>
      <c r="AA151" s="168"/>
      <c r="AB151" s="711">
        <f>SUM(AB149:AC149)</f>
        <v>13.129411764705885</v>
      </c>
      <c r="AC151" s="711"/>
      <c r="AD151" s="169" t="s">
        <v>57</v>
      </c>
      <c r="AE151" s="25"/>
      <c r="AF151" s="25"/>
      <c r="AG151" s="25"/>
      <c r="AH151" s="712">
        <f>SUM(AH148:AK149)</f>
        <v>1162.9023054411768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111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251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45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111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110</v>
      </c>
      <c r="W153" s="173">
        <f>W142</f>
        <v>14.55</v>
      </c>
      <c r="X153" s="258" t="s">
        <v>112</v>
      </c>
      <c r="Y153" s="259" t="s">
        <v>113</v>
      </c>
      <c r="Z153" s="665">
        <f>IF('様式11-5'!U$1="LPG",0,AF$22)</f>
        <v>0</v>
      </c>
      <c r="AA153" s="665"/>
      <c r="AB153" s="23" t="s">
        <v>46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54"/>
      <c r="S154" s="254"/>
      <c r="T154" s="25"/>
      <c r="U154" s="25"/>
      <c r="V154" s="25"/>
      <c r="W154" s="165"/>
      <c r="X154" s="260"/>
      <c r="Y154" s="260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52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251" t="s">
        <v>51</v>
      </c>
      <c r="AD155" s="28"/>
      <c r="AE155" s="28"/>
      <c r="AF155" s="28"/>
      <c r="AG155" s="28"/>
      <c r="AH155" s="640">
        <f>IF(AH143+AH144=0,0,R155*AB155)</f>
        <v>1320</v>
      </c>
      <c r="AI155" s="641"/>
      <c r="AJ155" s="641"/>
      <c r="AK155" s="642"/>
      <c r="AL155" s="617" t="s">
        <v>52</v>
      </c>
      <c r="AM155" s="618"/>
      <c r="AN155" s="594">
        <f>AN56</f>
        <v>6</v>
      </c>
      <c r="AO155" s="595"/>
      <c r="AP155" s="613" t="s">
        <v>45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46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54"/>
      <c r="S157" s="254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1320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249"/>
      <c r="C158" s="249"/>
      <c r="D158" s="249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249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250"/>
      <c r="D159" s="25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25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10272.815430000002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72</v>
      </c>
      <c r="AQ161" s="662"/>
      <c r="AR161" s="663">
        <f>AN161*AB166/1000</f>
        <v>0.98703986941176458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338.99764705882353</v>
      </c>
      <c r="AC162" s="557"/>
      <c r="AD162" s="24" t="s">
        <v>63</v>
      </c>
      <c r="AE162" s="24"/>
      <c r="AF162" s="24"/>
      <c r="AG162" s="152"/>
      <c r="AH162" s="648">
        <f>AH39+AH61+AH50</f>
        <v>8213.9129882352954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80.850000000000023</v>
      </c>
      <c r="AC163" s="557"/>
      <c r="AD163" s="24" t="s">
        <v>63</v>
      </c>
      <c r="AE163" s="24"/>
      <c r="AF163" s="24"/>
      <c r="AG163" s="152"/>
      <c r="AH163" s="648">
        <f>AH28+AH72+AH149</f>
        <v>1889.4645000000005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1778.4594117647057</v>
      </c>
      <c r="AC164" s="647"/>
      <c r="AD164" s="30" t="s">
        <v>63</v>
      </c>
      <c r="AE164" s="30"/>
      <c r="AF164" s="30"/>
      <c r="AG164" s="253"/>
      <c r="AH164" s="648">
        <f>AH94+AH105+AH116+AH127+AH83+AH138</f>
        <v>41562.596452941172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255"/>
      <c r="J165" s="252"/>
      <c r="K165" s="252"/>
      <c r="L165" s="259"/>
      <c r="M165" s="259"/>
      <c r="N165" s="259"/>
      <c r="O165" s="259"/>
      <c r="P165" s="259"/>
      <c r="Q165" s="2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262"/>
      <c r="AC165" s="262"/>
      <c r="AD165" s="30"/>
      <c r="AE165" s="30"/>
      <c r="AF165" s="30"/>
      <c r="AG165" s="253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9"/>
      <c r="C166" s="620"/>
      <c r="D166" s="932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2198.3070588235291</v>
      </c>
      <c r="AC166" s="701"/>
      <c r="AD166" s="344" t="s">
        <v>57</v>
      </c>
      <c r="AE166" s="337"/>
      <c r="AF166" s="337"/>
      <c r="AG166" s="337"/>
      <c r="AH166" s="652">
        <f>SUM(AH161:AK164)</f>
        <v>61938.78937117647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45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258"/>
      <c r="Y168" s="259"/>
      <c r="Z168" s="257"/>
      <c r="AA168" s="189"/>
      <c r="AB168" s="557">
        <f>Z32+Z43+Z65+Z54+Z76+Z87+Z142+Z153</f>
        <v>0</v>
      </c>
      <c r="AC168" s="557"/>
      <c r="AD168" s="23" t="s">
        <v>46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258"/>
      <c r="Y169" s="259"/>
      <c r="Z169" s="271"/>
      <c r="AA169" s="271"/>
      <c r="AB169" s="562">
        <f>Z98+Z109+Z120+Z131</f>
        <v>0</v>
      </c>
      <c r="AC169" s="562"/>
      <c r="AD169" s="23" t="s">
        <v>46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52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15840</v>
      </c>
      <c r="AI171" s="641"/>
      <c r="AJ171" s="641"/>
      <c r="AK171" s="642"/>
      <c r="AL171" s="617" t="s">
        <v>52</v>
      </c>
      <c r="AM171" s="618"/>
      <c r="AN171" s="594">
        <f>AN34</f>
        <v>6</v>
      </c>
      <c r="AO171" s="595"/>
      <c r="AP171" s="613" t="s">
        <v>45</v>
      </c>
      <c r="AQ171" s="614"/>
      <c r="AR171" s="625">
        <f>AN171*AB173/1000</f>
        <v>0.40270588235294119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67.117647058823536</v>
      </c>
      <c r="AC172" s="562"/>
      <c r="AD172" s="23" t="s">
        <v>46</v>
      </c>
      <c r="AE172" s="23"/>
      <c r="AF172" s="23"/>
      <c r="AG172" s="23"/>
      <c r="AH172" s="558">
        <f>AH35+AH46+AH68+AH101+AH112+AH123+AH134+AH57+AH79+AH90+AH145+AH156</f>
        <v>29531.764705882353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67.117647058823536</v>
      </c>
      <c r="AC173" s="667"/>
      <c r="AD173" s="347" t="s">
        <v>43</v>
      </c>
      <c r="AE173" s="347"/>
      <c r="AF173" s="347"/>
      <c r="AG173" s="347"/>
      <c r="AH173" s="671">
        <f>SUM(AH171:AK172)</f>
        <v>45371.76470588235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195"/>
      <c r="AE174" s="563" t="s">
        <v>218</v>
      </c>
      <c r="AF174" s="564"/>
      <c r="AG174" s="565"/>
      <c r="AH174" s="566">
        <f>+AH166+AH170+AH173</f>
        <v>107310.55407705883</v>
      </c>
      <c r="AI174" s="567"/>
      <c r="AJ174" s="567"/>
      <c r="AK174" s="568"/>
      <c r="AP174" s="563" t="s">
        <v>1</v>
      </c>
      <c r="AQ174" s="564"/>
      <c r="AR174" s="569">
        <f>SUM(AR161:AT173)</f>
        <v>1.3897457517647058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220.49218242964182</v>
      </c>
      <c r="AO177" s="582"/>
      <c r="AP177" s="583" t="s">
        <v>220</v>
      </c>
      <c r="AQ177" s="584"/>
      <c r="AR177" s="585">
        <f>AN177*0.0258</f>
        <v>5.688698306684759</v>
      </c>
      <c r="AS177" s="585"/>
      <c r="AT177" s="585"/>
      <c r="AU177" s="586" t="s">
        <v>119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220</v>
      </c>
      <c r="AQ178" s="584"/>
      <c r="AR178" s="585">
        <f>AN178*0.0258</f>
        <v>0</v>
      </c>
      <c r="AS178" s="585"/>
      <c r="AT178" s="585"/>
      <c r="AU178" s="586" t="s">
        <v>119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116</v>
      </c>
      <c r="AM179" s="599"/>
      <c r="AN179" s="600">
        <f>AB173/92.9</f>
        <v>0.72247198125751921</v>
      </c>
      <c r="AO179" s="601"/>
      <c r="AP179" s="602" t="s">
        <v>220</v>
      </c>
      <c r="AQ179" s="603"/>
      <c r="AR179" s="604">
        <f>AN179*0.0258</f>
        <v>1.8639777116443997E-2</v>
      </c>
      <c r="AS179" s="604"/>
      <c r="AT179" s="604"/>
      <c r="AU179" s="629" t="s">
        <v>119</v>
      </c>
      <c r="AV179" s="630"/>
    </row>
    <row r="180" spans="2:48" ht="14.25" thickBot="1">
      <c r="AP180" s="573" t="s">
        <v>1</v>
      </c>
      <c r="AQ180" s="574"/>
      <c r="AR180" s="575">
        <f>SUM(AR177:AT179)</f>
        <v>5.7073380838012033</v>
      </c>
      <c r="AS180" s="576"/>
      <c r="AT180" s="576"/>
      <c r="AU180" s="577" t="s">
        <v>119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AL179:AM179"/>
    <mergeCell ref="AN179:AO179"/>
    <mergeCell ref="AP179:AQ179"/>
    <mergeCell ref="AR179:AT179"/>
    <mergeCell ref="AP174:AQ174"/>
    <mergeCell ref="AR174:AT174"/>
    <mergeCell ref="AU174:AV174"/>
    <mergeCell ref="AU179:AV179"/>
    <mergeCell ref="AL171:AM173"/>
    <mergeCell ref="B167:D173"/>
    <mergeCell ref="E167:H169"/>
    <mergeCell ref="S167:T167"/>
    <mergeCell ref="AH167:AK167"/>
    <mergeCell ref="AH169:AK169"/>
    <mergeCell ref="P164:Q164"/>
    <mergeCell ref="AB164:AC164"/>
    <mergeCell ref="AH164:AK164"/>
    <mergeCell ref="AB170:AC170"/>
    <mergeCell ref="AH170:AK170"/>
    <mergeCell ref="AR171:AT173"/>
    <mergeCell ref="AU171:AV173"/>
    <mergeCell ref="AR167:AT170"/>
    <mergeCell ref="AH161:AK161"/>
    <mergeCell ref="AL161:AM166"/>
    <mergeCell ref="AN161:AO166"/>
    <mergeCell ref="AP161:AQ166"/>
    <mergeCell ref="E170:H170"/>
    <mergeCell ref="L164:O164"/>
    <mergeCell ref="E171:H172"/>
    <mergeCell ref="R171:S171"/>
    <mergeCell ref="AH171:AK171"/>
    <mergeCell ref="R172:S172"/>
    <mergeCell ref="X172:Y172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N160:AQ160"/>
    <mergeCell ref="AR160:AV160"/>
    <mergeCell ref="AN167:AO170"/>
    <mergeCell ref="AP167:AQ170"/>
    <mergeCell ref="E161:H165"/>
    <mergeCell ref="R161:S161"/>
    <mergeCell ref="W161:X161"/>
    <mergeCell ref="AU167:AV170"/>
    <mergeCell ref="S168:T168"/>
    <mergeCell ref="AB168:AC168"/>
    <mergeCell ref="S169:T169"/>
    <mergeCell ref="AB169:AC169"/>
    <mergeCell ref="AL152:AM154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AE174:AG174"/>
    <mergeCell ref="AH174:AK174"/>
    <mergeCell ref="S153:T153"/>
    <mergeCell ref="Z153:AA153"/>
    <mergeCell ref="AH153:AK153"/>
    <mergeCell ref="X173:Y173"/>
    <mergeCell ref="AB173:AC173"/>
    <mergeCell ref="AH172:AK172"/>
    <mergeCell ref="AL167:AM170"/>
    <mergeCell ref="AH163:AK163"/>
    <mergeCell ref="R144:S144"/>
    <mergeCell ref="Z154:AA154"/>
    <mergeCell ref="AH154:AK154"/>
    <mergeCell ref="X157:Y157"/>
    <mergeCell ref="AH157:AK157"/>
    <mergeCell ref="AH155:AK155"/>
    <mergeCell ref="AP144:AQ146"/>
    <mergeCell ref="E151:H151"/>
    <mergeCell ref="AB151:AC151"/>
    <mergeCell ref="AH151:AK151"/>
    <mergeCell ref="AP148:AQ151"/>
    <mergeCell ref="C148:D151"/>
    <mergeCell ref="E148:H150"/>
    <mergeCell ref="R148:S148"/>
    <mergeCell ref="W148:X148"/>
    <mergeCell ref="AH148:AK148"/>
    <mergeCell ref="AL148:AM151"/>
    <mergeCell ref="AN148:AO151"/>
    <mergeCell ref="B160:D160"/>
    <mergeCell ref="B161:D166"/>
    <mergeCell ref="B148:B157"/>
    <mergeCell ref="E147:H147"/>
    <mergeCell ref="I147:Q147"/>
    <mergeCell ref="R147:AG147"/>
    <mergeCell ref="AH147:AK147"/>
    <mergeCell ref="AL147:AM147"/>
    <mergeCell ref="C141:D146"/>
    <mergeCell ref="AB172:AC172"/>
    <mergeCell ref="AH168:AK168"/>
    <mergeCell ref="AP141:AQ143"/>
    <mergeCell ref="AR141:AT143"/>
    <mergeCell ref="AN147:AQ147"/>
    <mergeCell ref="AR147:AV147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AU155:AV157"/>
    <mergeCell ref="AR148:AT151"/>
    <mergeCell ref="AU148:AV151"/>
    <mergeCell ref="AU141:AV143"/>
    <mergeCell ref="AR144:AT146"/>
    <mergeCell ref="AU144:AV146"/>
    <mergeCell ref="B147:D147"/>
    <mergeCell ref="E157:H157"/>
    <mergeCell ref="E160:H160"/>
    <mergeCell ref="AN152:AO154"/>
    <mergeCell ref="AP152:AQ154"/>
    <mergeCell ref="AR152:AT154"/>
    <mergeCell ref="AU152:AV154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AB138:AC138"/>
    <mergeCell ref="AH138:AK138"/>
    <mergeCell ref="AH139:AK139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AL141:AM143"/>
    <mergeCell ref="R145:S145"/>
    <mergeCell ref="X145:Y145"/>
    <mergeCell ref="AH145:AK145"/>
    <mergeCell ref="E146:H146"/>
    <mergeCell ref="X146:Y146"/>
    <mergeCell ref="AH146:AK146"/>
    <mergeCell ref="AN141:AO143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N136:AQ136"/>
    <mergeCell ref="AR136:AV136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L21:AV21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900-000000000000}">
          <x14:formula1>
            <xm:f>料金単価!$B$21:$B$28</xm:f>
          </x14:formula1>
          <xm:sqref>Y1:AK1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X180"/>
  <sheetViews>
    <sheetView view="pageBreakPreview" zoomScaleNormal="115" zoomScaleSheetLayoutView="100" workbookViewId="0">
      <selection activeCell="AN92" sqref="AN92:AQ92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9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9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9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9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9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9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9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9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9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9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9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9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9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9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9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9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9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9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9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9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9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9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9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9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9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9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9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9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9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9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9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9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9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9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9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9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9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9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9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9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9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9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9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9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9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9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9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9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9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9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9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9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9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9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9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9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9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9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9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9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9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9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9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9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SUMIF(料金単価!$B$21:$B$28,$Y$1,料金単価!A21:A28)</f>
        <v>4</v>
      </c>
      <c r="Y1" s="937" t="s">
        <v>372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99"/>
      <c r="L2" s="199"/>
      <c r="M2" s="247"/>
      <c r="N2" s="247"/>
      <c r="O2" s="247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21</v>
      </c>
      <c r="M7" s="912"/>
      <c r="N7" s="766">
        <v>22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20</v>
      </c>
      <c r="W7" s="927"/>
      <c r="X7" s="766">
        <v>19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10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10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150</v>
      </c>
      <c r="K9" s="886"/>
      <c r="L9" s="886">
        <f>+L7*$J$8</f>
        <v>210</v>
      </c>
      <c r="M9" s="886"/>
      <c r="N9" s="886">
        <f>IF(N7="-","-",+N7*$J$8)</f>
        <v>220</v>
      </c>
      <c r="O9" s="886"/>
      <c r="P9" s="886">
        <f>+P7*$J$8</f>
        <v>130</v>
      </c>
      <c r="Q9" s="886"/>
      <c r="R9" s="887" t="s">
        <v>150</v>
      </c>
      <c r="S9" s="850"/>
      <c r="T9" s="850" t="s">
        <v>150</v>
      </c>
      <c r="U9" s="851"/>
      <c r="V9" s="887" t="s">
        <v>150</v>
      </c>
      <c r="W9" s="850"/>
      <c r="X9" s="850" t="s">
        <v>150</v>
      </c>
      <c r="Y9" s="850"/>
      <c r="Z9" s="850" t="s">
        <v>150</v>
      </c>
      <c r="AA9" s="850"/>
      <c r="AB9" s="850" t="s">
        <v>150</v>
      </c>
      <c r="AC9" s="851"/>
      <c r="AD9" s="887" t="s">
        <v>150</v>
      </c>
      <c r="AE9" s="850"/>
      <c r="AF9" s="850" t="s">
        <v>150</v>
      </c>
      <c r="AG9" s="851"/>
      <c r="AH9" s="930">
        <f>SUM(J9:AG9)</f>
        <v>560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150</v>
      </c>
      <c r="K10" s="797"/>
      <c r="L10" s="797" t="s">
        <v>150</v>
      </c>
      <c r="M10" s="797"/>
      <c r="N10" s="797" t="s">
        <v>150</v>
      </c>
      <c r="O10" s="797"/>
      <c r="P10" s="797" t="s">
        <v>150</v>
      </c>
      <c r="Q10" s="799"/>
      <c r="R10" s="845" t="str">
        <f>IF(R7="-","-",+R7*$R$8)</f>
        <v>-</v>
      </c>
      <c r="S10" s="846"/>
      <c r="T10" s="846" t="s">
        <v>150</v>
      </c>
      <c r="U10" s="876"/>
      <c r="V10" s="845">
        <f>IF(V7="-","-",+V7*$V$8)</f>
        <v>200</v>
      </c>
      <c r="W10" s="846"/>
      <c r="X10" s="847">
        <f>IF(X7="-","-",+X7*$V$8)</f>
        <v>190</v>
      </c>
      <c r="Y10" s="874"/>
      <c r="Z10" s="847">
        <f>IF(Z7="-","-",+Z7*$V$8)</f>
        <v>180</v>
      </c>
      <c r="AA10" s="874"/>
      <c r="AB10" s="847">
        <f>IF(AB7="-","-",+AB7*$V$8)</f>
        <v>140</v>
      </c>
      <c r="AC10" s="875"/>
      <c r="AD10" s="845" t="s">
        <v>150</v>
      </c>
      <c r="AE10" s="846"/>
      <c r="AF10" s="846" t="str">
        <f>IF(AF7="-","-",+AF7*$AF$8)</f>
        <v>-</v>
      </c>
      <c r="AG10" s="876"/>
      <c r="AH10" s="828">
        <f>SUM(J10:AG10)</f>
        <v>860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0.35</v>
      </c>
      <c r="K11" s="900"/>
      <c r="L11" s="900">
        <f>70%*SUMIF(室名リスト!$L$3:$L$10,$X$1,室名リスト!$N$3:$N$10)</f>
        <v>0.7</v>
      </c>
      <c r="M11" s="900"/>
      <c r="N11" s="900">
        <f>80%*SUMIF(室名リスト!$L$3:$L$10,$X$1,室名リスト!$N$3:$N$10)</f>
        <v>0.8</v>
      </c>
      <c r="O11" s="900"/>
      <c r="P11" s="900">
        <f>50%*SUMIF(室名リスト!$L$3:$L$10,$X$1,室名リスト!$N$3:$N$10)</f>
        <v>0.5</v>
      </c>
      <c r="Q11" s="901"/>
      <c r="R11" s="902" t="s">
        <v>150</v>
      </c>
      <c r="S11" s="892"/>
      <c r="T11" s="836" t="s">
        <v>150</v>
      </c>
      <c r="U11" s="871"/>
      <c r="V11" s="872">
        <f>45%*SUMIF(室名リスト!$L$3:$L$10,$X$1,室名リスト!$N$3:$N$10)</f>
        <v>0.45</v>
      </c>
      <c r="W11" s="873"/>
      <c r="X11" s="873">
        <f>60%*SUMIF(室名リスト!$L$3:$L$10,$X$1,室名リスト!$N$3:$N$10)</f>
        <v>0.6</v>
      </c>
      <c r="Y11" s="873"/>
      <c r="Z11" s="873">
        <f>60%*SUMIF(室名リスト!$L$3:$L$10,$X$1,室名リスト!$N$3:$N$10)</f>
        <v>0.6</v>
      </c>
      <c r="AA11" s="873"/>
      <c r="AB11" s="873">
        <f>35%*SUMIF(室名リスト!$L$3:$L$10,$X$1,室名リスト!$N$3:$N$10)</f>
        <v>0.35</v>
      </c>
      <c r="AC11" s="891"/>
      <c r="AD11" s="838" t="s">
        <v>82</v>
      </c>
      <c r="AE11" s="836"/>
      <c r="AF11" s="892" t="s">
        <v>150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150</v>
      </c>
      <c r="K12" s="788"/>
      <c r="L12" s="788">
        <f>+L9*L11</f>
        <v>147</v>
      </c>
      <c r="M12" s="788"/>
      <c r="N12" s="788">
        <f>IF(N9="-","-",+N9*N11)</f>
        <v>176</v>
      </c>
      <c r="O12" s="788"/>
      <c r="P12" s="788">
        <f>+P9*P11</f>
        <v>65</v>
      </c>
      <c r="Q12" s="788"/>
      <c r="R12" s="838" t="s">
        <v>150</v>
      </c>
      <c r="S12" s="836"/>
      <c r="T12" s="836" t="s">
        <v>150</v>
      </c>
      <c r="U12" s="871"/>
      <c r="V12" s="887" t="s">
        <v>150</v>
      </c>
      <c r="W12" s="850"/>
      <c r="X12" s="850" t="s">
        <v>150</v>
      </c>
      <c r="Y12" s="850"/>
      <c r="Z12" s="850" t="s">
        <v>150</v>
      </c>
      <c r="AA12" s="850"/>
      <c r="AB12" s="850" t="s">
        <v>150</v>
      </c>
      <c r="AC12" s="851"/>
      <c r="AD12" s="838" t="s">
        <v>150</v>
      </c>
      <c r="AE12" s="836"/>
      <c r="AF12" s="836" t="s">
        <v>150</v>
      </c>
      <c r="AG12" s="837"/>
      <c r="AH12" s="775">
        <f t="shared" ref="AH12:AH21" si="0">SUM(J12:AG12)</f>
        <v>388</v>
      </c>
      <c r="AI12" s="755"/>
      <c r="AJ12" s="755">
        <f>SUM(AH12:AI13)</f>
        <v>801.5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52.5</v>
      </c>
      <c r="K13" s="797"/>
      <c r="L13" s="797" t="s">
        <v>150</v>
      </c>
      <c r="M13" s="797"/>
      <c r="N13" s="797" t="s">
        <v>150</v>
      </c>
      <c r="O13" s="797"/>
      <c r="P13" s="797" t="s">
        <v>150</v>
      </c>
      <c r="Q13" s="799"/>
      <c r="R13" s="845" t="str">
        <f>IF(R10="-","-",+R10*R11)</f>
        <v>-</v>
      </c>
      <c r="S13" s="846"/>
      <c r="T13" s="846" t="s">
        <v>150</v>
      </c>
      <c r="U13" s="847"/>
      <c r="V13" s="848">
        <f>IF(V10="-","-",+V10*V11)</f>
        <v>90</v>
      </c>
      <c r="W13" s="849"/>
      <c r="X13" s="798">
        <f>IF(X10="-","-",+X10*X11)</f>
        <v>114</v>
      </c>
      <c r="Y13" s="849"/>
      <c r="Z13" s="798">
        <f>IF(Z10="-","-",+Z10*Z11)</f>
        <v>108</v>
      </c>
      <c r="AA13" s="849"/>
      <c r="AB13" s="798">
        <f>IF(AB10="-","-",+AB10*AB11)</f>
        <v>49</v>
      </c>
      <c r="AC13" s="878"/>
      <c r="AD13" s="845" t="s">
        <v>150</v>
      </c>
      <c r="AE13" s="846"/>
      <c r="AF13" s="846" t="str">
        <f>IF(AF10="-","-",+AF10*AF11)</f>
        <v>-</v>
      </c>
      <c r="AG13" s="876"/>
      <c r="AH13" s="828">
        <f t="shared" si="0"/>
        <v>413.5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150</v>
      </c>
      <c r="K14" s="788"/>
      <c r="L14" s="789">
        <f>IF(L9="-",31*24,31*24-L9)</f>
        <v>534</v>
      </c>
      <c r="M14" s="789"/>
      <c r="N14" s="836">
        <f>IF(N9="-",31*24,31*24-N9)</f>
        <v>524</v>
      </c>
      <c r="O14" s="836"/>
      <c r="P14" s="789">
        <f>IF(P9="-",30*24,30*24-P9)</f>
        <v>590</v>
      </c>
      <c r="Q14" s="877"/>
      <c r="R14" s="838" t="s">
        <v>150</v>
      </c>
      <c r="S14" s="836"/>
      <c r="T14" s="836" t="s">
        <v>150</v>
      </c>
      <c r="U14" s="871"/>
      <c r="V14" s="838" t="s">
        <v>150</v>
      </c>
      <c r="W14" s="836"/>
      <c r="X14" s="836" t="s">
        <v>150</v>
      </c>
      <c r="Y14" s="836"/>
      <c r="Z14" s="836" t="s">
        <v>150</v>
      </c>
      <c r="AA14" s="836"/>
      <c r="AB14" s="836" t="s">
        <v>150</v>
      </c>
      <c r="AC14" s="837"/>
      <c r="AD14" s="838" t="s">
        <v>150</v>
      </c>
      <c r="AE14" s="836"/>
      <c r="AF14" s="836" t="s">
        <v>150</v>
      </c>
      <c r="AG14" s="837"/>
      <c r="AH14" s="775">
        <f t="shared" si="0"/>
        <v>1648</v>
      </c>
      <c r="AI14" s="755"/>
      <c r="AJ14" s="755">
        <f>SUM(AH14:AI15)</f>
        <v>7340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570</v>
      </c>
      <c r="K15" s="764"/>
      <c r="L15" s="765" t="s">
        <v>150</v>
      </c>
      <c r="M15" s="766"/>
      <c r="N15" s="765" t="s">
        <v>150</v>
      </c>
      <c r="O15" s="766"/>
      <c r="P15" s="765" t="s">
        <v>150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544</v>
      </c>
      <c r="W15" s="834"/>
      <c r="X15" s="834">
        <f>IF(X10="-",31*24,31*24-X10)</f>
        <v>554</v>
      </c>
      <c r="Y15" s="834"/>
      <c r="Z15" s="834">
        <f>IF(Z10="-",28*24,28*24-Z10)</f>
        <v>492</v>
      </c>
      <c r="AA15" s="834"/>
      <c r="AB15" s="834">
        <f>IF(AB10="-",31*24,31*24-AB10)</f>
        <v>604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5692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150</v>
      </c>
      <c r="K16" s="861"/>
      <c r="L16" s="862">
        <f>IF(L12="-",0,L12*SUMIF('様式11-5'!$G$92:$G$99,'様式11-6④'!$Y$1,'様式11-5'!$Q$92:$Q$99))+L14*SUMIF('様式11-5'!$G$92:$G$99,'様式11-6④'!$Y$1,'様式11-5'!$T$92:$T$99)</f>
        <v>238.82823529411769</v>
      </c>
      <c r="M16" s="863"/>
      <c r="N16" s="862">
        <f>IF(N12="-",0,N12*SUMIF('様式11-5'!$G$92:$G$99,'様式11-6④'!$Y$1,'様式11-5'!$Q$92:$Q$99))+N14*SUMIF('様式11-5'!$G$92:$G$99,'様式11-6④'!$Y$1,'様式11-5'!$T$92:$T$99)</f>
        <v>281.87294117647065</v>
      </c>
      <c r="O16" s="863"/>
      <c r="P16" s="862">
        <f>IF(P12="-",0,P12*SUMIF('様式11-5'!$G$92:$G$99,'様式11-6④'!$Y$1,'様式11-5'!$Q$92:$Q$99))+P14*SUMIF('様式11-5'!$G$92:$G$99,'様式11-6④'!$Y$1,'様式11-5'!$T$92:$T$99)</f>
        <v>118.09411764705885</v>
      </c>
      <c r="Q16" s="862"/>
      <c r="R16" s="864" t="s">
        <v>150</v>
      </c>
      <c r="S16" s="816"/>
      <c r="T16" s="816" t="s">
        <v>150</v>
      </c>
      <c r="U16" s="865"/>
      <c r="V16" s="864" t="s">
        <v>150</v>
      </c>
      <c r="W16" s="816"/>
      <c r="X16" s="816" t="s">
        <v>150</v>
      </c>
      <c r="Y16" s="816"/>
      <c r="Z16" s="816" t="s">
        <v>150</v>
      </c>
      <c r="AA16" s="816"/>
      <c r="AB16" s="816" t="s">
        <v>150</v>
      </c>
      <c r="AC16" s="817"/>
      <c r="AD16" s="818" t="s">
        <v>150</v>
      </c>
      <c r="AE16" s="816"/>
      <c r="AF16" s="816" t="s">
        <v>150</v>
      </c>
      <c r="AG16" s="817"/>
      <c r="AH16" s="819">
        <f t="shared" si="0"/>
        <v>638.79529411764713</v>
      </c>
      <c r="AI16" s="820"/>
      <c r="AJ16" s="820">
        <f>SUM(AH16:AI17)</f>
        <v>4297.2141176470586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IF(J13="-",0,J13*SUMIF('様式11-5'!$G$92:$G$99,'様式11-6④'!$Y$1,'様式11-5'!$Q$92:$Q$99))+J15*SUMIF('様式11-5'!$G$92:$G$99,'様式11-6④'!$Y$1,'様式11-5'!$T$92:$T$99)</f>
        <v>98.682352941176489</v>
      </c>
      <c r="K17" s="844"/>
      <c r="L17" s="797" t="s">
        <v>150</v>
      </c>
      <c r="M17" s="798"/>
      <c r="N17" s="797" t="s">
        <v>150</v>
      </c>
      <c r="O17" s="798"/>
      <c r="P17" s="797" t="s">
        <v>150</v>
      </c>
      <c r="Q17" s="799"/>
      <c r="R17" s="768">
        <f>IF(R13="-",0,R13*SUMIF('様式11-5'!$G$92:$G$99,'様式11-6④'!$Y$1,'様式11-5'!$Q$92:$Q$99))+R15*SUMIF('様式11-5'!$G$92:$G$99,'様式11-6④'!$Y$1,'様式11-5'!$T$92:$T$99)</f>
        <v>26.258823529411771</v>
      </c>
      <c r="S17" s="814"/>
      <c r="T17" s="769">
        <f>IF(T13="-",0,T13*SUMIF('様式11-5'!$G$92:$G$99,'様式11-6④'!$Y$1,'様式11-5'!$R$92:$R$99))+T15*SUMIF('様式11-5'!$G$92:$G$99,'様式11-6④'!$Y$1,'様式11-5'!$T$92:$T$99)</f>
        <v>25.411764705882359</v>
      </c>
      <c r="U17" s="815"/>
      <c r="V17" s="795">
        <f>IF(V13="-",0,V13*SUMIF('様式11-5'!$G$92:$G$99,'様式11-6④'!$Y$1,'様式11-5'!$R$92:$R$99))+V15*SUMIF('様式11-5'!$G$92:$G$99,'様式11-6④'!$Y$1,'様式11-5'!$T$92:$T$99)</f>
        <v>861.6</v>
      </c>
      <c r="W17" s="796"/>
      <c r="X17" s="824">
        <f>IF(X13="-",0,X13*SUMIF('様式11-5'!$G$92:$G$99,'様式11-6④'!$Y$1,'様式11-5'!$R$92:$R$99))+X15*SUMIF('様式11-5'!$G$92:$G$99,'様式11-6④'!$Y$1,'様式11-5'!$T$92:$T$99)</f>
        <v>1086.5929411764705</v>
      </c>
      <c r="Y17" s="825"/>
      <c r="Z17" s="824">
        <f>IF(Z13="-",0,Z13*SUMIF('様式11-5'!$G$92:$G$99,'様式11-6④'!$Y$1,'様式11-5'!$R$92:$R$99))+Z15*SUMIF('様式11-5'!$G$92:$G$99,'様式11-6④'!$Y$1,'様式11-5'!$T$92:$T$99)</f>
        <v>1028.2447058823527</v>
      </c>
      <c r="AA17" s="825"/>
      <c r="AB17" s="824">
        <f>IF(AB13="-",0,AB13*SUMIF('様式11-5'!$G$92:$G$99,'様式11-6④'!$Y$1,'様式11-5'!$R$92:$R$99))+AB15*SUMIF('様式11-5'!$G$92:$G$99,'様式11-6④'!$Y$1,'様式11-5'!$T$92:$T$99)</f>
        <v>479.95764705882351</v>
      </c>
      <c r="AC17" s="826"/>
      <c r="AD17" s="827">
        <f>IF(AD13="-",0,AD13*SUMIF('様式11-5'!$G$92:$G$99,'様式11-6④'!$Y$1,'様式11-5'!$R$92:$R$99))+AD15*SUMIF('様式11-5'!$G$92:$G$99,'様式11-6④'!$Y$1,'様式11-5'!$T$92:$T$99)</f>
        <v>25.411764705882359</v>
      </c>
      <c r="AE17" s="769"/>
      <c r="AF17" s="827">
        <f>IF(AF13="-",0,AF13*SUMIF('様式11-5'!$G$92:$G$99,'様式11-6④'!$Y$1,'様式11-5'!$Q$92:$Q$99))+AF15*SUMIF('様式11-5'!$G$92:$G$99,'様式11-6④'!$Y$1,'様式11-5'!$T$92:$T$99)</f>
        <v>26.258823529411771</v>
      </c>
      <c r="AG17" s="769"/>
      <c r="AH17" s="828">
        <f>SUM(J17:AG17)</f>
        <v>3658.4188235294118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150</v>
      </c>
      <c r="K18" s="788"/>
      <c r="L18" s="772">
        <f>IF(L9="-",0,L9*SUMIF('様式11-5'!$G$100:$G$107,'様式11-6④'!$Y$1,'様式11-5'!$R$100:$R$107))+L14*SUMIF('様式11-5'!$G$100:$G$107,'様式11-6④'!$Y$1,'様式11-5'!$T$100:$T$107)</f>
        <v>14.700000000000001</v>
      </c>
      <c r="M18" s="772"/>
      <c r="N18" s="772">
        <f>IF(N9="-",0,N9*SUMIF('様式11-5'!$G$100:$G$107,'様式11-6④'!$Y$1,'様式11-5'!$R$100:$R$107))+N14*SUMIF('様式11-5'!$G$100:$G$107,'様式11-6④'!$Y$1,'様式11-5'!$T$100:$T$107)</f>
        <v>15.400000000000002</v>
      </c>
      <c r="O18" s="772"/>
      <c r="P18" s="789">
        <f>IF(P9="-",0,P9*SUMIF('様式11-5'!$G$100:$G$107,'様式11-6④'!$Y$1,'様式11-5'!$R$100:$R$107))+P14*SUMIF('様式11-5'!$G$100:$G$107,'様式11-6④'!$Y$1,'様式11-5'!$T$100:$T$107)</f>
        <v>9.1000000000000014</v>
      </c>
      <c r="Q18" s="789"/>
      <c r="R18" s="791" t="s">
        <v>150</v>
      </c>
      <c r="S18" s="772"/>
      <c r="T18" s="772" t="s">
        <v>150</v>
      </c>
      <c r="U18" s="792"/>
      <c r="V18" s="791" t="s">
        <v>150</v>
      </c>
      <c r="W18" s="772"/>
      <c r="X18" s="772" t="s">
        <v>150</v>
      </c>
      <c r="Y18" s="772"/>
      <c r="Z18" s="772" t="s">
        <v>150</v>
      </c>
      <c r="AA18" s="772"/>
      <c r="AB18" s="772" t="s">
        <v>150</v>
      </c>
      <c r="AC18" s="773"/>
      <c r="AD18" s="774" t="s">
        <v>150</v>
      </c>
      <c r="AE18" s="772"/>
      <c r="AF18" s="772" t="s">
        <v>150</v>
      </c>
      <c r="AG18" s="773"/>
      <c r="AH18" s="775">
        <f t="shared" si="0"/>
        <v>39.200000000000003</v>
      </c>
      <c r="AI18" s="755"/>
      <c r="AJ18" s="755">
        <f>SUM(AH18:AI19)</f>
        <v>99.4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IF(J10="-",0,J10*SUMIF('様式11-5'!$G$100:$G$107,'様式11-6④'!$Y$1,'様式11-5'!$R$100:$R$107))+J15*SUMIF('様式11-5'!$G$100:$G$107,'様式11-6④'!$Y$1,'様式11-5'!$T$100:$T$107)</f>
        <v>10.500000000000002</v>
      </c>
      <c r="K19" s="796"/>
      <c r="L19" s="797" t="s">
        <v>150</v>
      </c>
      <c r="M19" s="798"/>
      <c r="N19" s="797" t="s">
        <v>150</v>
      </c>
      <c r="O19" s="798"/>
      <c r="P19" s="797" t="s">
        <v>150</v>
      </c>
      <c r="Q19" s="799"/>
      <c r="R19" s="768">
        <f>IF(R10="-",0,R10*SUMIF('様式11-5'!$G$100:$G$107,'様式11-6④'!$Y$1,'様式11-5'!$R$100:$R$107))+R15*SUMIF('様式11-5'!$G$100:$G$107,'様式11-6④'!$Y$1,'様式11-5'!$T$100:$T$107)</f>
        <v>0</v>
      </c>
      <c r="S19" s="769"/>
      <c r="T19" s="814">
        <f>IF(T10="-",0,T10*SUMIF('様式11-5'!$G$100:$G$107,'様式11-6④'!$Y$1,'様式11-5'!$R$100:$R$107))+T15*SUMIF('様式11-5'!$G$100:$G$107,'様式11-6④'!$Y$1,'様式11-5'!$T$100:$T$107)</f>
        <v>0</v>
      </c>
      <c r="U19" s="831"/>
      <c r="V19" s="832">
        <f>IF(V10="-",0,V10*SUMIF('様式11-5'!$G$100:$G$107,'様式11-6④'!$Y$1,'様式11-5'!$R$100:$R$107))+V15*SUMIF('様式11-5'!$G$100:$G$107,'様式11-6④'!$Y$1,'様式11-5'!$T$100:$T$107)</f>
        <v>14.000000000000002</v>
      </c>
      <c r="W19" s="825"/>
      <c r="X19" s="824">
        <f>IF(X10="-",0,X10*SUMIF('様式11-5'!$G$100:$G$107,'様式11-6④'!$Y$1,'様式11-5'!$R$100:$R$107))+X15*SUMIF('様式11-5'!$G$100:$G$107,'様式11-6④'!$Y$1,'様式11-5'!$T$100:$T$107)</f>
        <v>13.3</v>
      </c>
      <c r="Y19" s="825"/>
      <c r="Z19" s="824">
        <f>IF(Z10="-",0,Z10*SUMIF('様式11-5'!$G$100:$G$107,'様式11-6④'!$Y$1,'様式11-5'!$R$100:$R$107))+Z15*SUMIF('様式11-5'!$G$100:$G$107,'様式11-6④'!$Y$1,'様式11-5'!$T$100:$T$107)</f>
        <v>12.600000000000001</v>
      </c>
      <c r="AA19" s="825"/>
      <c r="AB19" s="824">
        <f>IF(AB10="-",0,AB10*SUMIF('様式11-5'!$G$100:$G$107,'様式11-6④'!$Y$1,'様式11-5'!$R$100:$R$107))+AB15*SUMIF('様式11-5'!$G$100:$G$107,'様式11-6④'!$Y$1,'様式11-5'!$T$100:$T$107)</f>
        <v>9.8000000000000007</v>
      </c>
      <c r="AC19" s="826"/>
      <c r="AD19" s="827">
        <f>IF(AD10="-",0,AD10*SUMIF('様式11-5'!$G$100:$G$107,'様式11-6④'!$Y$1,'様式11-5'!$R$100:$R$107))+AD15*SUMIF('様式11-5'!$G$100:$G$107,'様式11-6④'!$Y$1,'様式11-5'!$T$100:$T$107)</f>
        <v>0</v>
      </c>
      <c r="AE19" s="769"/>
      <c r="AF19" s="827">
        <f>IF(AF10="-",0,AF10*SUMIF('様式11-5'!$G$100:$G$107,'様式11-6④'!$Y$1,'様式11-5'!$R$100:$R$107))+AF15*SUMIF('様式11-5'!$G$100:$G$107,'様式11-6④'!$Y$1,'様式11-5'!$T$100:$T$107)</f>
        <v>0</v>
      </c>
      <c r="AG19" s="769"/>
      <c r="AH19" s="828">
        <f t="shared" si="0"/>
        <v>60.2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150</v>
      </c>
      <c r="K20" s="788"/>
      <c r="L20" s="789">
        <f>IF(L9="-",0,L9*SUMIF('様式11-5'!$G$108:$G$115,'様式11-6④'!$Y$1,'様式11-5'!$Q$108:$Q$115))+L14*SUMIF('様式11-5'!$G$108:$G$115,'様式11-6④'!$Y$1,'様式11-5'!$T$108:$T$115)</f>
        <v>0</v>
      </c>
      <c r="M20" s="790"/>
      <c r="N20" s="789">
        <f>IF(N9="-",0,N9*SUMIF('様式11-5'!$G$108:$G$115,'様式11-6④'!$Y$1,'様式11-5'!$Q$108:$Q$115))+N14*SUMIF('様式11-5'!$G$108:$G$115,'様式11-6④'!$Y$1,'様式11-5'!$T$108:$T$115)</f>
        <v>0</v>
      </c>
      <c r="O20" s="790"/>
      <c r="P20" s="789">
        <f>IF(P9="-",0,P9*SUMIF('様式11-5'!$G$108:$G$115,'様式11-6④'!$Y$1,'様式11-5'!$Q$108:$Q$115))+P14*SUMIF('様式11-5'!$G$108:$G$115,'様式11-6④'!$Y$1,'様式11-5'!$T$108:$T$115)</f>
        <v>0</v>
      </c>
      <c r="Q20" s="789"/>
      <c r="R20" s="791" t="s">
        <v>150</v>
      </c>
      <c r="S20" s="772"/>
      <c r="T20" s="772" t="s">
        <v>150</v>
      </c>
      <c r="U20" s="792"/>
      <c r="V20" s="791" t="s">
        <v>150</v>
      </c>
      <c r="W20" s="772"/>
      <c r="X20" s="772" t="s">
        <v>150</v>
      </c>
      <c r="Y20" s="772"/>
      <c r="Z20" s="772" t="s">
        <v>150</v>
      </c>
      <c r="AA20" s="772"/>
      <c r="AB20" s="772" t="s">
        <v>150</v>
      </c>
      <c r="AC20" s="773"/>
      <c r="AD20" s="774" t="s">
        <v>150</v>
      </c>
      <c r="AE20" s="772"/>
      <c r="AF20" s="772" t="s">
        <v>150</v>
      </c>
      <c r="AG20" s="773"/>
      <c r="AH20" s="775">
        <f t="shared" si="0"/>
        <v>0</v>
      </c>
      <c r="AI20" s="755"/>
      <c r="AJ20" s="755">
        <f>SUM(AH20:AI21)</f>
        <v>0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IF(J10="-",0,J10*SUMIF('様式11-5'!$G$108:$G$115,'様式11-6④'!$Y$1,'様式11-5'!$Q$108:$Q$115))+J15*SUMIF('様式11-5'!$G$108:$G$115,'様式11-6④'!$Y$1,'様式11-5'!$T$108:$T$115)</f>
        <v>0</v>
      </c>
      <c r="K21" s="764"/>
      <c r="L21" s="765" t="s">
        <v>150</v>
      </c>
      <c r="M21" s="766"/>
      <c r="N21" s="765" t="s">
        <v>150</v>
      </c>
      <c r="O21" s="766"/>
      <c r="P21" s="765" t="s">
        <v>150</v>
      </c>
      <c r="Q21" s="767"/>
      <c r="R21" s="768">
        <f>IF(R10="-",0,R10*SUMIF('様式11-5'!$G$108:$G$115,'様式11-6④'!$Y$1,'様式11-5'!$Q$108:$Q$115))+R15*SUMIF('様式11-5'!$G$108:$G$115,'様式11-6④'!$Y$1,'様式11-5'!$T$108:$T$115)</f>
        <v>0</v>
      </c>
      <c r="S21" s="769"/>
      <c r="T21" s="720">
        <f>IF(T10="-",0,T10*SUMIF('様式11-5'!$G$108:$G$115,'様式11-6④'!$Y$1,'様式11-5'!$R$108:$R$115))+T15*SUMIF('様式11-5'!$G$108:$G$115,'様式11-6④'!$Y$1,'様式11-5'!$T$108:$T$115)</f>
        <v>0</v>
      </c>
      <c r="U21" s="722"/>
      <c r="V21" s="770">
        <f>IF(V10="-",0,V10*SUMIF('様式11-5'!$G$108:$G$115,'様式11-6④'!$Y$1,'様式11-5'!$R$108:$R$115))+V15*SUMIF('様式11-5'!$G$108:$G$115,'様式11-6④'!$Y$1,'様式11-5'!$T$108:$T$115)</f>
        <v>0</v>
      </c>
      <c r="W21" s="771"/>
      <c r="X21" s="748">
        <f>IF(X10="-",0,X10*SUMIF('様式11-5'!$G$108:$G$115,'様式11-6④'!$Y$1,'様式11-5'!$R$108:$R$115))+X15*SUMIF('様式11-5'!$G$108:$G$115,'様式11-6④'!$Y$1,'様式11-5'!$T$108:$T$115)</f>
        <v>0</v>
      </c>
      <c r="Y21" s="749"/>
      <c r="Z21" s="748">
        <f>IF(Z10="-",0,Z10*SUMIF('様式11-5'!$G$108:$G$115,'様式11-6④'!$Y$1,'様式11-5'!$R$108:$R$115))+Z15*SUMIF('様式11-5'!$G$108:$G$115,'様式11-6④'!$Y$1,'様式11-5'!$T$108:$T$115)</f>
        <v>0</v>
      </c>
      <c r="AA21" s="749"/>
      <c r="AB21" s="748">
        <f>IF(AB10="-",0,AB10*SUMIF('様式11-5'!$G$108:$G$115,'様式11-6④'!$Y$1,'様式11-5'!$R$108:$R$115))+AB15*SUMIF('様式11-5'!$G$108:$G$115,'様式11-6④'!$Y$1,'様式11-5'!$T$108:$T$115)</f>
        <v>0</v>
      </c>
      <c r="AC21" s="750"/>
      <c r="AD21" s="751">
        <f>IF(AD10="-",0,AD10*SUMIF('様式11-5'!$G$108:$G$115,'様式11-6④'!$Y$1,'様式11-5'!$R$108:$R$115))+AD15*SUMIF('様式11-5'!$G$108:$G$115,'様式11-6④'!$Y$1,'様式11-5'!$T$108:$T$115)</f>
        <v>0</v>
      </c>
      <c r="AE21" s="752"/>
      <c r="AF21" s="751">
        <f>IF(AF10="-",0,AF10*SUMIF('様式11-5'!$G$108:$G$115,'様式11-6④'!$Y$1,'様式11-5'!$Q$108:$Q$115))+AF15*SUMIF('様式11-5'!$G$108:$G$115,'様式11-6④'!$Y$1,'様式11-5'!$T$108:$T$115)</f>
        <v>0</v>
      </c>
      <c r="AG21" s="752"/>
      <c r="AH21" s="753">
        <f t="shared" si="0"/>
        <v>0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IF(J13="-",0,J13*SUMIF('様式11-5'!$G$92:$G$99,'様式11-6④'!$Y$1,'様式11-5'!$X$92:$X$99))</f>
        <v>12.352941176470589</v>
      </c>
      <c r="K22" s="807"/>
      <c r="L22" s="808">
        <f>IF(L12="-",0,L12*SUMIF('様式11-5'!$G$92:$G$99,'様式11-6④'!$Y$1,'様式11-5'!$X$92:$X$99))</f>
        <v>34.588235294117645</v>
      </c>
      <c r="M22" s="809"/>
      <c r="N22" s="810">
        <f>IF(N12="-",0,N12*SUMIF('様式11-5'!$G$92:$G$99,'様式11-6④'!$Y$1,'様式11-5'!$X$92:$X$99))</f>
        <v>41.411764705882355</v>
      </c>
      <c r="O22" s="810"/>
      <c r="P22" s="808">
        <f>IF(P12="-",0,P12*SUMIF('様式11-5'!$G$92:$G$99,'様式11-6④'!$Y$1,'様式11-5'!$X$92:$X$99))</f>
        <v>15.294117647058822</v>
      </c>
      <c r="Q22" s="811"/>
      <c r="R22" s="812">
        <f>IF(R13="-",0,R13*SUMIF('様式11-5'!$G$92:$G$99,'様式11-6④'!$Y$1,'様式11-5'!$X$92:$X$99))</f>
        <v>0</v>
      </c>
      <c r="S22" s="743"/>
      <c r="T22" s="743">
        <f>IF(T13="-",0,T13*SUMIF('様式11-5'!$G$92:$G$99,'様式11-6④'!$Y$1,'様式11-5'!$X$92:$X$99))</f>
        <v>0</v>
      </c>
      <c r="U22" s="813"/>
      <c r="V22" s="812" t="s">
        <v>150</v>
      </c>
      <c r="W22" s="743"/>
      <c r="X22" s="743" t="s">
        <v>150</v>
      </c>
      <c r="Y22" s="743"/>
      <c r="Z22" s="743" t="s">
        <v>150</v>
      </c>
      <c r="AA22" s="743"/>
      <c r="AB22" s="743" t="s">
        <v>150</v>
      </c>
      <c r="AC22" s="744"/>
      <c r="AD22" s="745">
        <f>IF(AD13="-",0,AD13*SUMIF('様式11-5'!$G$92:$G$99,'様式11-6④'!$Y$1,'様式11-5'!$Y$92:$Y$99))</f>
        <v>0</v>
      </c>
      <c r="AE22" s="743"/>
      <c r="AF22" s="743">
        <f>IF(AF13="-",0,AF13*SUMIF('様式11-5'!$G$92:$G$99,'様式11-6④'!$Y$1,'様式11-5'!$X$92:$X$99))</f>
        <v>0</v>
      </c>
      <c r="AG22" s="744"/>
      <c r="AH22" s="746">
        <f>SUM(J22:AG22)</f>
        <v>103.64705882352941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150</v>
      </c>
      <c r="K23" s="737"/>
      <c r="L23" s="737" t="s">
        <v>150</v>
      </c>
      <c r="M23" s="737"/>
      <c r="N23" s="737" t="s">
        <v>150</v>
      </c>
      <c r="O23" s="737"/>
      <c r="P23" s="737" t="s">
        <v>150</v>
      </c>
      <c r="Q23" s="738"/>
      <c r="R23" s="739" t="s">
        <v>150</v>
      </c>
      <c r="S23" s="724"/>
      <c r="T23" s="724" t="s">
        <v>150</v>
      </c>
      <c r="U23" s="740"/>
      <c r="V23" s="741">
        <f>IF(V13="-",0,V13*SUMIF('様式11-5'!$G$92:$G$99,'様式11-6④'!$Y$1,'様式11-5'!$Y$92:$Y$99))</f>
        <v>0</v>
      </c>
      <c r="W23" s="742"/>
      <c r="X23" s="720">
        <f>IF(X13="-",0,X13*SUMIF('様式11-5'!$G$92:$G$99,'様式11-6④'!$Y$1,'様式11-5'!$Y$92:$Y$99))</f>
        <v>0</v>
      </c>
      <c r="Y23" s="721"/>
      <c r="Z23" s="720">
        <f>IF(Z13="-",0,Z13*SUMIF('様式11-5'!$G$92:$G$99,'様式11-6④'!$Y$1,'様式11-5'!$Y$92:$Y$99))</f>
        <v>0</v>
      </c>
      <c r="AA23" s="721"/>
      <c r="AB23" s="720">
        <f>IF(AB13="-",0,AB13*SUMIF('様式11-5'!$G$92:$G$99,'様式11-6④'!$Y$1,'様式11-5'!$Y$92:$Y$99))</f>
        <v>0</v>
      </c>
      <c r="AC23" s="722"/>
      <c r="AD23" s="723" t="s">
        <v>150</v>
      </c>
      <c r="AE23" s="724"/>
      <c r="AF23" s="724" t="s">
        <v>150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1285.8699999999999</v>
      </c>
      <c r="S27" s="548"/>
      <c r="T27" s="28" t="s">
        <v>71</v>
      </c>
      <c r="U27" s="28"/>
      <c r="V27" s="28"/>
      <c r="W27" s="549">
        <f>SUMIF('様式11-5'!$G$92:$G$99,'様式11-6④'!$Y$1,'様式11-5'!$Q$92:$Q$99)+SUMIF('様式11-5'!$G$100:$G$107,'様式11-6④'!$Y$1,'様式11-5'!$R$100:$R$107)+SUMIF('様式11-5'!$G$108:$G$115,'様式11-6④'!$Y$1,'様式11-5'!$Q$108:$Q$115)</f>
        <v>1.5664705882352945</v>
      </c>
      <c r="X27" s="549"/>
      <c r="Y27" s="28" t="s">
        <v>70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1712.1359050000003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72</v>
      </c>
      <c r="AQ27" s="662"/>
      <c r="AR27" s="663">
        <f>AN27*AB30/1000</f>
        <v>4.9022876470588242E-2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62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109.18235294117649</v>
      </c>
      <c r="AC28" s="702"/>
      <c r="AD28" s="24" t="s">
        <v>63</v>
      </c>
      <c r="AE28" s="24"/>
      <c r="AF28" s="24"/>
      <c r="AG28" s="152"/>
      <c r="AH28" s="648">
        <f>(S28+U28+W28)*AB28</f>
        <v>2551.5915882352947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255"/>
      <c r="J29" s="252"/>
      <c r="K29" s="252"/>
      <c r="L29" s="259"/>
      <c r="M29" s="259"/>
      <c r="N29" s="259"/>
      <c r="O29" s="259"/>
      <c r="P29" s="259"/>
      <c r="Q29" s="256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53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54"/>
      <c r="S30" s="254"/>
      <c r="T30" s="25"/>
      <c r="U30" s="25"/>
      <c r="V30" s="25"/>
      <c r="W30" s="165"/>
      <c r="X30" s="260"/>
      <c r="Y30" s="260"/>
      <c r="Z30" s="167"/>
      <c r="AA30" s="168"/>
      <c r="AB30" s="711">
        <f>SUM(AB28:AC28)</f>
        <v>109.18235294117649</v>
      </c>
      <c r="AC30" s="711"/>
      <c r="AD30" s="169" t="s">
        <v>57</v>
      </c>
      <c r="AE30" s="25"/>
      <c r="AF30" s="25"/>
      <c r="AG30" s="25"/>
      <c r="AH30" s="712">
        <f>SUM(AH27:AK28)</f>
        <v>4263.7274932352948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111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251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45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111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110</v>
      </c>
      <c r="W32" s="173">
        <f>料金単価!$F$7</f>
        <v>14.55</v>
      </c>
      <c r="X32" s="258" t="s">
        <v>112</v>
      </c>
      <c r="Y32" s="259" t="s">
        <v>113</v>
      </c>
      <c r="Z32" s="719">
        <f>IF('様式11-5'!U$1="LPG",0,J$22)</f>
        <v>0</v>
      </c>
      <c r="AA32" s="719"/>
      <c r="AB32" s="23" t="s">
        <v>46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54"/>
      <c r="S33" s="254"/>
      <c r="T33" s="25"/>
      <c r="U33" s="25"/>
      <c r="V33" s="25"/>
      <c r="W33" s="165"/>
      <c r="X33" s="260"/>
      <c r="Y33" s="260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52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251" t="s">
        <v>51</v>
      </c>
      <c r="AD34" s="28"/>
      <c r="AE34" s="28"/>
      <c r="AF34" s="28"/>
      <c r="AG34" s="28"/>
      <c r="AH34" s="640">
        <f>IF(AH22+AH23=0,0,R34*AB34)</f>
        <v>1320</v>
      </c>
      <c r="AI34" s="641"/>
      <c r="AJ34" s="641"/>
      <c r="AK34" s="642"/>
      <c r="AL34" s="617" t="s">
        <v>52</v>
      </c>
      <c r="AM34" s="618"/>
      <c r="AN34" s="594">
        <v>6</v>
      </c>
      <c r="AO34" s="595"/>
      <c r="AP34" s="613" t="s">
        <v>45</v>
      </c>
      <c r="AQ34" s="614"/>
      <c r="AR34" s="625">
        <f>AN34*X36/1000</f>
        <v>7.4117647058823538E-2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12.352941176470589</v>
      </c>
      <c r="Y35" s="644"/>
      <c r="Z35" s="23" t="s">
        <v>46</v>
      </c>
      <c r="AA35" s="23"/>
      <c r="AB35" s="23"/>
      <c r="AC35" s="24"/>
      <c r="AD35" s="23"/>
      <c r="AE35" s="23"/>
      <c r="AF35" s="23"/>
      <c r="AG35" s="23"/>
      <c r="AH35" s="558">
        <f>R35*X35</f>
        <v>5435.2941176470595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54"/>
      <c r="S36" s="254"/>
      <c r="T36" s="25"/>
      <c r="U36" s="25"/>
      <c r="V36" s="25"/>
      <c r="W36" s="165"/>
      <c r="X36" s="716">
        <f>SUM(X35:Y35)</f>
        <v>12.352941176470589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6755.2941176470595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1285.8699999999999</v>
      </c>
      <c r="S38" s="548"/>
      <c r="T38" s="28" t="s">
        <v>71</v>
      </c>
      <c r="U38" s="28"/>
      <c r="V38" s="28"/>
      <c r="W38" s="549">
        <f>$W$27</f>
        <v>1.5664705882352945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1712.1359050000003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72</v>
      </c>
      <c r="AQ38" s="662"/>
      <c r="AR38" s="663">
        <f>AN38*AB41/1000</f>
        <v>0.11383417764705883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62</v>
      </c>
      <c r="U39" s="149">
        <f>$U$28</f>
        <v>7.29</v>
      </c>
      <c r="V39" s="148" t="s">
        <v>62</v>
      </c>
      <c r="W39" s="150">
        <f>$W$28</f>
        <v>3.45</v>
      </c>
      <c r="X39" s="151" t="s">
        <v>64</v>
      </c>
      <c r="Y39" s="24" t="s">
        <v>61</v>
      </c>
      <c r="Z39" s="151"/>
      <c r="AA39" s="32"/>
      <c r="AB39" s="702">
        <f>L$16+L$18+L$20</f>
        <v>253.52823529411768</v>
      </c>
      <c r="AC39" s="702"/>
      <c r="AD39" s="24" t="s">
        <v>63</v>
      </c>
      <c r="AE39" s="24"/>
      <c r="AF39" s="24"/>
      <c r="AG39" s="152"/>
      <c r="AH39" s="648">
        <f>(S39+U39+W39)*AB39</f>
        <v>6142.9891411764711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255"/>
      <c r="J40" s="252"/>
      <c r="K40" s="252"/>
      <c r="L40" s="259"/>
      <c r="M40" s="259"/>
      <c r="N40" s="259"/>
      <c r="O40" s="259"/>
      <c r="P40" s="259"/>
      <c r="Q40" s="2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253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54"/>
      <c r="S41" s="254"/>
      <c r="T41" s="25"/>
      <c r="U41" s="25"/>
      <c r="V41" s="25"/>
      <c r="W41" s="165"/>
      <c r="X41" s="260"/>
      <c r="Y41" s="260"/>
      <c r="Z41" s="167"/>
      <c r="AA41" s="168"/>
      <c r="AB41" s="711">
        <f>SUM(AB39:AC39)</f>
        <v>253.52823529411768</v>
      </c>
      <c r="AC41" s="711"/>
      <c r="AD41" s="169" t="s">
        <v>57</v>
      </c>
      <c r="AE41" s="25"/>
      <c r="AF41" s="25"/>
      <c r="AG41" s="25"/>
      <c r="AH41" s="712">
        <f>SUM(AH38:AK39)</f>
        <v>7855.1250461764712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111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251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45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132.49</v>
      </c>
      <c r="T43" s="556"/>
      <c r="U43" s="23" t="s">
        <v>48</v>
      </c>
      <c r="V43" s="172" t="s">
        <v>110</v>
      </c>
      <c r="W43" s="173">
        <f>W32</f>
        <v>14.55</v>
      </c>
      <c r="X43" s="258" t="s">
        <v>112</v>
      </c>
      <c r="Y43" s="259" t="s">
        <v>113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54"/>
      <c r="S44" s="254"/>
      <c r="T44" s="25"/>
      <c r="U44" s="25"/>
      <c r="V44" s="25"/>
      <c r="W44" s="165"/>
      <c r="X44" s="260"/>
      <c r="Y44" s="260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52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251" t="s">
        <v>51</v>
      </c>
      <c r="AD45" s="28"/>
      <c r="AE45" s="28"/>
      <c r="AF45" s="28"/>
      <c r="AG45" s="28"/>
      <c r="AH45" s="640">
        <f>IF(AH33+AH34=0,0,R45*AB45)</f>
        <v>1320</v>
      </c>
      <c r="AI45" s="641"/>
      <c r="AJ45" s="641"/>
      <c r="AK45" s="642"/>
      <c r="AL45" s="617" t="s">
        <v>52</v>
      </c>
      <c r="AM45" s="618"/>
      <c r="AN45" s="594">
        <f>AN34</f>
        <v>6</v>
      </c>
      <c r="AO45" s="595"/>
      <c r="AP45" s="613" t="s">
        <v>45</v>
      </c>
      <c r="AQ45" s="614"/>
      <c r="AR45" s="625">
        <f>AN45*X47/1000</f>
        <v>0.20752941176470585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34.588235294117645</v>
      </c>
      <c r="Y46" s="644"/>
      <c r="Z46" s="23" t="s">
        <v>46</v>
      </c>
      <c r="AA46" s="23"/>
      <c r="AB46" s="23"/>
      <c r="AC46" s="24"/>
      <c r="AD46" s="23"/>
      <c r="AE46" s="23"/>
      <c r="AF46" s="23"/>
      <c r="AG46" s="23"/>
      <c r="AH46" s="558">
        <f>R46*X46</f>
        <v>15218.823529411764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54"/>
      <c r="S47" s="254"/>
      <c r="T47" s="25"/>
      <c r="U47" s="25"/>
      <c r="V47" s="25"/>
      <c r="W47" s="165"/>
      <c r="X47" s="716">
        <f>SUM(X46:Y46)</f>
        <v>34.588235294117645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16538.823529411762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1285.8699999999999</v>
      </c>
      <c r="S49" s="548"/>
      <c r="T49" s="28" t="s">
        <v>71</v>
      </c>
      <c r="U49" s="28"/>
      <c r="V49" s="28"/>
      <c r="W49" s="549">
        <f>$W$27</f>
        <v>1.5664705882352945</v>
      </c>
      <c r="X49" s="549"/>
      <c r="Y49" s="28" t="s">
        <v>70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1712.1359050000003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72</v>
      </c>
      <c r="AQ49" s="662"/>
      <c r="AR49" s="663">
        <f>AN49*AB52/1000</f>
        <v>0.13347555058823532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62</v>
      </c>
      <c r="U50" s="149">
        <f>$U$28</f>
        <v>7.29</v>
      </c>
      <c r="V50" s="148" t="s">
        <v>62</v>
      </c>
      <c r="W50" s="150">
        <f>$W$28</f>
        <v>3.45</v>
      </c>
      <c r="X50" s="151" t="s">
        <v>64</v>
      </c>
      <c r="Y50" s="24" t="s">
        <v>61</v>
      </c>
      <c r="Z50" s="151"/>
      <c r="AA50" s="32"/>
      <c r="AB50" s="702">
        <f>N$16+N$18+N$20</f>
        <v>297.27294117647062</v>
      </c>
      <c r="AC50" s="702"/>
      <c r="AD50" s="24" t="s">
        <v>63</v>
      </c>
      <c r="AE50" s="24"/>
      <c r="AF50" s="24"/>
      <c r="AG50" s="152"/>
      <c r="AH50" s="648">
        <f>(S50+U50+W50)*AB50</f>
        <v>7202.9233647058836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255"/>
      <c r="J51" s="252"/>
      <c r="K51" s="252"/>
      <c r="L51" s="259"/>
      <c r="M51" s="259"/>
      <c r="N51" s="259"/>
      <c r="O51" s="259"/>
      <c r="P51" s="259"/>
      <c r="Q51" s="2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253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54"/>
      <c r="S52" s="254"/>
      <c r="T52" s="25"/>
      <c r="U52" s="25"/>
      <c r="V52" s="25"/>
      <c r="W52" s="165"/>
      <c r="X52" s="260"/>
      <c r="Y52" s="260"/>
      <c r="Z52" s="167"/>
      <c r="AA52" s="168"/>
      <c r="AB52" s="711">
        <f>SUM(AB50:AC50)</f>
        <v>297.27294117647062</v>
      </c>
      <c r="AC52" s="711"/>
      <c r="AD52" s="169" t="s">
        <v>57</v>
      </c>
      <c r="AE52" s="25"/>
      <c r="AF52" s="25"/>
      <c r="AG52" s="25"/>
      <c r="AH52" s="712">
        <f>SUM(AH49:AK50)</f>
        <v>8915.0592697058837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111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251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45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111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132.49</v>
      </c>
      <c r="T54" s="556"/>
      <c r="U54" s="23" t="s">
        <v>48</v>
      </c>
      <c r="V54" s="172" t="s">
        <v>110</v>
      </c>
      <c r="W54" s="173">
        <f>W43</f>
        <v>14.55</v>
      </c>
      <c r="X54" s="258" t="s">
        <v>112</v>
      </c>
      <c r="Y54" s="259" t="s">
        <v>113</v>
      </c>
      <c r="Z54" s="665">
        <f>IF('様式11-5'!U$1="LPG",0,N$22)</f>
        <v>0</v>
      </c>
      <c r="AA54" s="665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54"/>
      <c r="S55" s="254"/>
      <c r="T55" s="25"/>
      <c r="U55" s="25"/>
      <c r="V55" s="25"/>
      <c r="W55" s="165"/>
      <c r="X55" s="260"/>
      <c r="Y55" s="260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52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251" t="s">
        <v>51</v>
      </c>
      <c r="AD56" s="28"/>
      <c r="AE56" s="28"/>
      <c r="AF56" s="28"/>
      <c r="AG56" s="28"/>
      <c r="AH56" s="640">
        <f>IF(AH44+AH45=0,0,R56*AB56)</f>
        <v>1320</v>
      </c>
      <c r="AI56" s="641"/>
      <c r="AJ56" s="641"/>
      <c r="AK56" s="642"/>
      <c r="AL56" s="617" t="s">
        <v>52</v>
      </c>
      <c r="AM56" s="618"/>
      <c r="AN56" s="594">
        <f>AN45</f>
        <v>6</v>
      </c>
      <c r="AO56" s="595"/>
      <c r="AP56" s="613" t="s">
        <v>45</v>
      </c>
      <c r="AQ56" s="614"/>
      <c r="AR56" s="625">
        <f>AN56*X58/1000</f>
        <v>0.24847058823529414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41.411764705882355</v>
      </c>
      <c r="Y57" s="644"/>
      <c r="Z57" s="23" t="s">
        <v>46</v>
      </c>
      <c r="AA57" s="23"/>
      <c r="AB57" s="23"/>
      <c r="AC57" s="24"/>
      <c r="AD57" s="23"/>
      <c r="AE57" s="23"/>
      <c r="AF57" s="23"/>
      <c r="AG57" s="23"/>
      <c r="AH57" s="558">
        <f>R57*X57</f>
        <v>18221.176470588238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54"/>
      <c r="S58" s="254"/>
      <c r="T58" s="25"/>
      <c r="U58" s="25"/>
      <c r="V58" s="25"/>
      <c r="W58" s="165"/>
      <c r="X58" s="716">
        <f>SUM(X57:Y57)</f>
        <v>41.411764705882355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19541.176470588238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1285.8699999999999</v>
      </c>
      <c r="S60" s="548"/>
      <c r="T60" s="28" t="s">
        <v>71</v>
      </c>
      <c r="U60" s="28"/>
      <c r="V60" s="28"/>
      <c r="W60" s="549">
        <f>$W$27</f>
        <v>1.5664705882352945</v>
      </c>
      <c r="X60" s="549"/>
      <c r="Y60" s="28" t="s">
        <v>70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1712.1359050000003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72</v>
      </c>
      <c r="AQ60" s="662"/>
      <c r="AR60" s="663">
        <f>AN60*AB63/1000</f>
        <v>5.7110158823529426E-2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62</v>
      </c>
      <c r="U61" s="149">
        <f>$U$28</f>
        <v>7.29</v>
      </c>
      <c r="V61" s="148" t="s">
        <v>62</v>
      </c>
      <c r="W61" s="150">
        <f>$W$28</f>
        <v>3.45</v>
      </c>
      <c r="X61" s="151" t="s">
        <v>64</v>
      </c>
      <c r="Y61" s="24" t="s">
        <v>61</v>
      </c>
      <c r="Z61" s="151"/>
      <c r="AA61" s="32"/>
      <c r="AB61" s="702">
        <f>P$16+P$18+P$20</f>
        <v>127.19411764705885</v>
      </c>
      <c r="AC61" s="702"/>
      <c r="AD61" s="24" t="s">
        <v>63</v>
      </c>
      <c r="AE61" s="24"/>
      <c r="AF61" s="24"/>
      <c r="AG61" s="152"/>
      <c r="AH61" s="648">
        <f>(S61+U61+W61)*AB61</f>
        <v>3081.9134705882357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255"/>
      <c r="J62" s="252"/>
      <c r="K62" s="252"/>
      <c r="L62" s="259"/>
      <c r="M62" s="259"/>
      <c r="N62" s="259"/>
      <c r="O62" s="259"/>
      <c r="P62" s="259"/>
      <c r="Q62" s="2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253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54"/>
      <c r="S63" s="254"/>
      <c r="T63" s="25"/>
      <c r="U63" s="25"/>
      <c r="V63" s="25"/>
      <c r="W63" s="165"/>
      <c r="X63" s="260"/>
      <c r="Y63" s="260"/>
      <c r="Z63" s="167"/>
      <c r="AA63" s="168"/>
      <c r="AB63" s="711">
        <f>SUM(AB61:AC61)</f>
        <v>127.19411764705885</v>
      </c>
      <c r="AC63" s="711"/>
      <c r="AD63" s="169" t="s">
        <v>57</v>
      </c>
      <c r="AE63" s="25"/>
      <c r="AF63" s="25"/>
      <c r="AG63" s="25"/>
      <c r="AH63" s="712">
        <f>SUM(AH60:AK61)</f>
        <v>4794.0493755882362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111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251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45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111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110</v>
      </c>
      <c r="W65" s="173">
        <f>W54</f>
        <v>14.55</v>
      </c>
      <c r="X65" s="258" t="s">
        <v>112</v>
      </c>
      <c r="Y65" s="259" t="s">
        <v>113</v>
      </c>
      <c r="Z65" s="719">
        <f>IF('様式11-5'!U$1="LPG",0,P$22)</f>
        <v>0</v>
      </c>
      <c r="AA65" s="719"/>
      <c r="AB65" s="23" t="s">
        <v>46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54"/>
      <c r="S66" s="254"/>
      <c r="T66" s="25"/>
      <c r="U66" s="25"/>
      <c r="V66" s="25"/>
      <c r="W66" s="165"/>
      <c r="X66" s="260"/>
      <c r="Y66" s="260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52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251" t="s">
        <v>51</v>
      </c>
      <c r="AD67" s="28"/>
      <c r="AE67" s="28"/>
      <c r="AF67" s="28"/>
      <c r="AG67" s="28"/>
      <c r="AH67" s="640">
        <f>IF(AH55+AH56=0,0,R67*AB67)</f>
        <v>1320</v>
      </c>
      <c r="AI67" s="641"/>
      <c r="AJ67" s="641"/>
      <c r="AK67" s="642"/>
      <c r="AL67" s="617" t="s">
        <v>52</v>
      </c>
      <c r="AM67" s="618"/>
      <c r="AN67" s="594">
        <f>AN34</f>
        <v>6</v>
      </c>
      <c r="AO67" s="595"/>
      <c r="AP67" s="613" t="s">
        <v>45</v>
      </c>
      <c r="AQ67" s="614"/>
      <c r="AR67" s="625">
        <f>AN67*X69/1000</f>
        <v>9.1764705882352929E-2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15.294117647058822</v>
      </c>
      <c r="Y68" s="644"/>
      <c r="Z68" s="23" t="s">
        <v>46</v>
      </c>
      <c r="AA68" s="23"/>
      <c r="AB68" s="23"/>
      <c r="AC68" s="24"/>
      <c r="AD68" s="23"/>
      <c r="AE68" s="23"/>
      <c r="AF68" s="23"/>
      <c r="AG68" s="23"/>
      <c r="AH68" s="558">
        <f>R68*X68</f>
        <v>6729.411764705882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54"/>
      <c r="S69" s="254"/>
      <c r="T69" s="25"/>
      <c r="U69" s="25"/>
      <c r="V69" s="25"/>
      <c r="W69" s="165"/>
      <c r="X69" s="716">
        <f>SUM(X68:Y68)</f>
        <v>15.294117647058822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8049.411764705882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1285.8699999999999</v>
      </c>
      <c r="S71" s="548"/>
      <c r="T71" s="28" t="s">
        <v>71</v>
      </c>
      <c r="U71" s="28"/>
      <c r="V71" s="28"/>
      <c r="W71" s="549">
        <f>$W$27</f>
        <v>1.5664705882352945</v>
      </c>
      <c r="X71" s="549"/>
      <c r="Y71" s="28" t="s">
        <v>70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1712.1359050000003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72</v>
      </c>
      <c r="AQ71" s="662"/>
      <c r="AR71" s="663">
        <f>AN71*AB74/1000</f>
        <v>1.1790211764705886E-2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157</v>
      </c>
      <c r="S72" s="33">
        <f>IF(P72="夏季",料金単価!$D$3,料金単価!$E$3)</f>
        <v>12.63</v>
      </c>
      <c r="T72" s="148" t="s">
        <v>62</v>
      </c>
      <c r="U72" s="149">
        <f>$U$28</f>
        <v>7.29</v>
      </c>
      <c r="V72" s="148" t="s">
        <v>62</v>
      </c>
      <c r="W72" s="150">
        <f>$W$28</f>
        <v>3.45</v>
      </c>
      <c r="X72" s="151" t="s">
        <v>64</v>
      </c>
      <c r="Y72" s="24" t="s">
        <v>61</v>
      </c>
      <c r="Z72" s="151"/>
      <c r="AA72" s="32"/>
      <c r="AB72" s="702">
        <f>R$17+R$19+R$21</f>
        <v>26.258823529411771</v>
      </c>
      <c r="AC72" s="702"/>
      <c r="AD72" s="24" t="s">
        <v>63</v>
      </c>
      <c r="AE72" s="24"/>
      <c r="AF72" s="24"/>
      <c r="AG72" s="152"/>
      <c r="AH72" s="648">
        <f>(S72+U72+W72)*AB72</f>
        <v>613.66870588235315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255"/>
      <c r="J73" s="252"/>
      <c r="K73" s="252"/>
      <c r="L73" s="259"/>
      <c r="M73" s="259"/>
      <c r="N73" s="259"/>
      <c r="O73" s="259"/>
      <c r="P73" s="259"/>
      <c r="Q73" s="2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253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54"/>
      <c r="S74" s="254"/>
      <c r="T74" s="25"/>
      <c r="U74" s="25"/>
      <c r="V74" s="25"/>
      <c r="W74" s="165"/>
      <c r="X74" s="260"/>
      <c r="Y74" s="260"/>
      <c r="Z74" s="167"/>
      <c r="AA74" s="168"/>
      <c r="AB74" s="711">
        <f>SUM(AB72:AC72)</f>
        <v>26.258823529411771</v>
      </c>
      <c r="AC74" s="711"/>
      <c r="AD74" s="169" t="s">
        <v>57</v>
      </c>
      <c r="AE74" s="25"/>
      <c r="AF74" s="25"/>
      <c r="AG74" s="25"/>
      <c r="AH74" s="712">
        <f>SUM(AH71:AK72)</f>
        <v>2325.8046108823537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111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251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45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111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110</v>
      </c>
      <c r="W76" s="173">
        <f>W65</f>
        <v>14.55</v>
      </c>
      <c r="X76" s="258" t="s">
        <v>112</v>
      </c>
      <c r="Y76" s="259" t="s">
        <v>113</v>
      </c>
      <c r="Z76" s="665">
        <f>IF('様式11-5'!U$1="LPG",0,R$22)</f>
        <v>0</v>
      </c>
      <c r="AA76" s="665"/>
      <c r="AB76" s="23" t="s">
        <v>46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54"/>
      <c r="S77" s="254"/>
      <c r="T77" s="25"/>
      <c r="U77" s="25"/>
      <c r="V77" s="25"/>
      <c r="W77" s="165"/>
      <c r="X77" s="260"/>
      <c r="Y77" s="260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52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251" t="s">
        <v>51</v>
      </c>
      <c r="AD78" s="28"/>
      <c r="AE78" s="28"/>
      <c r="AF78" s="28"/>
      <c r="AG78" s="28"/>
      <c r="AH78" s="640">
        <f>IF(AH66+AH67=0,0,R78*AB78)</f>
        <v>1320</v>
      </c>
      <c r="AI78" s="641"/>
      <c r="AJ78" s="641"/>
      <c r="AK78" s="642"/>
      <c r="AL78" s="617" t="s">
        <v>52</v>
      </c>
      <c r="AM78" s="618"/>
      <c r="AN78" s="594">
        <f>AN45</f>
        <v>6</v>
      </c>
      <c r="AO78" s="595"/>
      <c r="AP78" s="613" t="s">
        <v>45</v>
      </c>
      <c r="AQ78" s="614"/>
      <c r="AR78" s="625">
        <f>AN78*X80/1000</f>
        <v>9.1764705882352929E-2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15.294117647058822</v>
      </c>
      <c r="Y79" s="644"/>
      <c r="Z79" s="23" t="s">
        <v>46</v>
      </c>
      <c r="AA79" s="23"/>
      <c r="AB79" s="23"/>
      <c r="AC79" s="24"/>
      <c r="AD79" s="23"/>
      <c r="AE79" s="23"/>
      <c r="AF79" s="23"/>
      <c r="AG79" s="23"/>
      <c r="AH79" s="558">
        <f>R79*X79</f>
        <v>6729.411764705882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54"/>
      <c r="S80" s="254"/>
      <c r="T80" s="25"/>
      <c r="U80" s="25"/>
      <c r="V80" s="25"/>
      <c r="W80" s="165"/>
      <c r="X80" s="716">
        <f>SUM(X79:Y79)</f>
        <v>15.294117647058822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8049.411764705882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1285.8699999999999</v>
      </c>
      <c r="S82" s="548"/>
      <c r="T82" s="28" t="s">
        <v>71</v>
      </c>
      <c r="U82" s="28"/>
      <c r="V82" s="28"/>
      <c r="W82" s="549">
        <f>$W$27</f>
        <v>1.5664705882352945</v>
      </c>
      <c r="X82" s="549"/>
      <c r="Y82" s="28" t="s">
        <v>70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1712.1359050000003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72</v>
      </c>
      <c r="AQ82" s="662"/>
      <c r="AR82" s="663">
        <f>AN82*AB85/1000</f>
        <v>1.1409882352941179E-2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197</v>
      </c>
      <c r="Q83" s="646"/>
      <c r="R83" s="34" t="s">
        <v>157</v>
      </c>
      <c r="S83" s="33">
        <f>IF(P83="夏季",料金単価!$D$3,料金単価!$E$3)</f>
        <v>12.63</v>
      </c>
      <c r="T83" s="148" t="s">
        <v>62</v>
      </c>
      <c r="U83" s="149">
        <f>$U$28</f>
        <v>7.29</v>
      </c>
      <c r="V83" s="148" t="s">
        <v>62</v>
      </c>
      <c r="W83" s="150">
        <f>$W$28</f>
        <v>3.45</v>
      </c>
      <c r="X83" s="151" t="s">
        <v>64</v>
      </c>
      <c r="Y83" s="24" t="s">
        <v>61</v>
      </c>
      <c r="Z83" s="151"/>
      <c r="AA83" s="32"/>
      <c r="AB83" s="702">
        <f>T$17+T$19+T$21</f>
        <v>25.411764705882359</v>
      </c>
      <c r="AC83" s="702"/>
      <c r="AD83" s="24" t="s">
        <v>63</v>
      </c>
      <c r="AE83" s="24"/>
      <c r="AF83" s="24"/>
      <c r="AG83" s="152"/>
      <c r="AH83" s="648">
        <f>(S83+U83+W83)*AB83</f>
        <v>593.8729411764707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255"/>
      <c r="J84" s="252"/>
      <c r="K84" s="252"/>
      <c r="L84" s="259"/>
      <c r="M84" s="259"/>
      <c r="N84" s="259"/>
      <c r="O84" s="259"/>
      <c r="P84" s="259"/>
      <c r="Q84" s="2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253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54"/>
      <c r="S85" s="254"/>
      <c r="T85" s="25"/>
      <c r="U85" s="25"/>
      <c r="V85" s="25"/>
      <c r="W85" s="165"/>
      <c r="X85" s="260"/>
      <c r="Y85" s="260"/>
      <c r="Z85" s="167"/>
      <c r="AA85" s="168"/>
      <c r="AB85" s="711">
        <f>SUM(AB83:AC83)</f>
        <v>25.411764705882359</v>
      </c>
      <c r="AC85" s="711"/>
      <c r="AD85" s="169" t="s">
        <v>57</v>
      </c>
      <c r="AE85" s="25"/>
      <c r="AF85" s="25"/>
      <c r="AG85" s="25"/>
      <c r="AH85" s="712">
        <f>SUM(AH82:AK83)</f>
        <v>2306.0088461764708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111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251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45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111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110</v>
      </c>
      <c r="W87" s="173">
        <f>W76</f>
        <v>14.55</v>
      </c>
      <c r="X87" s="258" t="s">
        <v>112</v>
      </c>
      <c r="Y87" s="259" t="s">
        <v>113</v>
      </c>
      <c r="Z87" s="665">
        <f>IF('様式11-5'!U$1="LPG",0,T$22)</f>
        <v>0</v>
      </c>
      <c r="AA87" s="665"/>
      <c r="AB87" s="23" t="s">
        <v>46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54"/>
      <c r="S88" s="254"/>
      <c r="T88" s="25"/>
      <c r="U88" s="25"/>
      <c r="V88" s="25"/>
      <c r="W88" s="165"/>
      <c r="X88" s="260"/>
      <c r="Y88" s="260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52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251" t="s">
        <v>51</v>
      </c>
      <c r="AD89" s="28"/>
      <c r="AE89" s="28"/>
      <c r="AF89" s="28"/>
      <c r="AG89" s="28"/>
      <c r="AH89" s="640">
        <f>IF(AH77+AH78=0,0,R89*AB89)</f>
        <v>1320</v>
      </c>
      <c r="AI89" s="641"/>
      <c r="AJ89" s="641"/>
      <c r="AK89" s="642"/>
      <c r="AL89" s="617" t="s">
        <v>52</v>
      </c>
      <c r="AM89" s="618"/>
      <c r="AN89" s="594">
        <f>AN56</f>
        <v>6</v>
      </c>
      <c r="AO89" s="595"/>
      <c r="AP89" s="613" t="s">
        <v>45</v>
      </c>
      <c r="AQ89" s="614"/>
      <c r="AR89" s="625">
        <f>AN89*X91/1000</f>
        <v>9.1764705882352929E-2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15.294117647058822</v>
      </c>
      <c r="Y90" s="644"/>
      <c r="Z90" s="23" t="s">
        <v>46</v>
      </c>
      <c r="AA90" s="23"/>
      <c r="AB90" s="23"/>
      <c r="AC90" s="24"/>
      <c r="AD90" s="23"/>
      <c r="AE90" s="23"/>
      <c r="AF90" s="23"/>
      <c r="AG90" s="23"/>
      <c r="AH90" s="558">
        <f>R90*X90</f>
        <v>6729.411764705882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54"/>
      <c r="S91" s="254"/>
      <c r="T91" s="25"/>
      <c r="U91" s="25"/>
      <c r="V91" s="25"/>
      <c r="W91" s="165"/>
      <c r="X91" s="716">
        <f>SUM(X90:Y90)</f>
        <v>15.294117647058822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8049.411764705882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1285.8699999999999</v>
      </c>
      <c r="S93" s="548"/>
      <c r="T93" s="28" t="s">
        <v>71</v>
      </c>
      <c r="U93" s="28"/>
      <c r="V93" s="28"/>
      <c r="W93" s="549">
        <f>$W$27</f>
        <v>1.5664705882352945</v>
      </c>
      <c r="X93" s="549"/>
      <c r="Y93" s="28" t="s">
        <v>70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1712.1359050000003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72</v>
      </c>
      <c r="AQ93" s="662"/>
      <c r="AR93" s="663">
        <f>AN93*AB96/1000</f>
        <v>0.3931444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203</v>
      </c>
      <c r="M94" s="618"/>
      <c r="N94" s="618"/>
      <c r="O94" s="678"/>
      <c r="P94" s="643" t="s">
        <v>197</v>
      </c>
      <c r="Q94" s="646"/>
      <c r="R94" s="34" t="s">
        <v>157</v>
      </c>
      <c r="S94" s="33">
        <f>IF(P94="夏季",料金単価!$D$3,料金単価!$E$3)</f>
        <v>12.63</v>
      </c>
      <c r="T94" s="148" t="s">
        <v>62</v>
      </c>
      <c r="U94" s="149">
        <f>$U$28</f>
        <v>7.29</v>
      </c>
      <c r="V94" s="148" t="s">
        <v>62</v>
      </c>
      <c r="W94" s="150">
        <f>$W$28</f>
        <v>3.45</v>
      </c>
      <c r="X94" s="151" t="s">
        <v>64</v>
      </c>
      <c r="Y94" s="24" t="s">
        <v>61</v>
      </c>
      <c r="Z94" s="151"/>
      <c r="AA94" s="32"/>
      <c r="AB94" s="702">
        <f>V$17+V$19+V$21</f>
        <v>875.6</v>
      </c>
      <c r="AC94" s="702"/>
      <c r="AD94" s="24" t="s">
        <v>63</v>
      </c>
      <c r="AE94" s="24"/>
      <c r="AF94" s="24"/>
      <c r="AG94" s="152"/>
      <c r="AH94" s="648">
        <f>(S94+U94+W94)*AB94</f>
        <v>20462.772000000001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255"/>
      <c r="J95" s="252"/>
      <c r="K95" s="252"/>
      <c r="L95" s="259"/>
      <c r="M95" s="259"/>
      <c r="N95" s="259"/>
      <c r="O95" s="259"/>
      <c r="P95" s="259"/>
      <c r="Q95" s="2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253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54"/>
      <c r="S96" s="254"/>
      <c r="T96" s="25"/>
      <c r="U96" s="25"/>
      <c r="V96" s="25"/>
      <c r="W96" s="165"/>
      <c r="X96" s="260"/>
      <c r="Y96" s="260"/>
      <c r="Z96" s="167"/>
      <c r="AA96" s="168"/>
      <c r="AB96" s="711">
        <f>SUM(AB94:AC94)</f>
        <v>875.6</v>
      </c>
      <c r="AC96" s="711"/>
      <c r="AD96" s="169" t="s">
        <v>57</v>
      </c>
      <c r="AE96" s="25"/>
      <c r="AF96" s="25"/>
      <c r="AG96" s="25"/>
      <c r="AH96" s="712">
        <f>SUM(AH93:AK94)</f>
        <v>22174.907905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111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251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45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111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110</v>
      </c>
      <c r="W98" s="173">
        <f>W87</f>
        <v>14.55</v>
      </c>
      <c r="X98" s="258" t="s">
        <v>112</v>
      </c>
      <c r="Y98" s="259" t="s">
        <v>113</v>
      </c>
      <c r="Z98" s="665">
        <f>IF('様式11-5'!U$1="LPG",0,V$23)</f>
        <v>0</v>
      </c>
      <c r="AA98" s="665"/>
      <c r="AB98" s="23" t="s">
        <v>46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54"/>
      <c r="S99" s="254"/>
      <c r="T99" s="25"/>
      <c r="U99" s="25"/>
      <c r="V99" s="25"/>
      <c r="W99" s="165"/>
      <c r="X99" s="260"/>
      <c r="Y99" s="260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52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251" t="s">
        <v>51</v>
      </c>
      <c r="AD100" s="28"/>
      <c r="AE100" s="28"/>
      <c r="AF100" s="28"/>
      <c r="AG100" s="28"/>
      <c r="AH100" s="640">
        <f>IF(AH88+AH89=0,0,R100*AB100)</f>
        <v>1320</v>
      </c>
      <c r="AI100" s="641"/>
      <c r="AJ100" s="641"/>
      <c r="AK100" s="642"/>
      <c r="AL100" s="617" t="s">
        <v>52</v>
      </c>
      <c r="AM100" s="618"/>
      <c r="AN100" s="594">
        <f>AN34</f>
        <v>6</v>
      </c>
      <c r="AO100" s="595"/>
      <c r="AP100" s="613" t="s">
        <v>45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46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54"/>
      <c r="S102" s="254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1320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1285.8699999999999</v>
      </c>
      <c r="S104" s="548"/>
      <c r="T104" s="28" t="s">
        <v>71</v>
      </c>
      <c r="U104" s="28"/>
      <c r="V104" s="28"/>
      <c r="W104" s="549">
        <f>$W$27</f>
        <v>1.5664705882352945</v>
      </c>
      <c r="X104" s="549"/>
      <c r="Y104" s="28" t="s">
        <v>70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1712.1359050000003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72</v>
      </c>
      <c r="AQ104" s="662"/>
      <c r="AR104" s="663">
        <f>AN104*AB107/1000</f>
        <v>0.49385193058823523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203</v>
      </c>
      <c r="M105" s="618"/>
      <c r="N105" s="618"/>
      <c r="O105" s="678"/>
      <c r="P105" s="643" t="s">
        <v>197</v>
      </c>
      <c r="Q105" s="646"/>
      <c r="R105" s="34" t="s">
        <v>157</v>
      </c>
      <c r="S105" s="33">
        <f>IF(P105="夏季",料金単価!$D$3,料金単価!$E$3)</f>
        <v>12.63</v>
      </c>
      <c r="T105" s="148" t="s">
        <v>62</v>
      </c>
      <c r="U105" s="149">
        <f>$U$28</f>
        <v>7.29</v>
      </c>
      <c r="V105" s="148" t="s">
        <v>62</v>
      </c>
      <c r="W105" s="150">
        <f>$W$28</f>
        <v>3.45</v>
      </c>
      <c r="X105" s="151" t="s">
        <v>64</v>
      </c>
      <c r="Y105" s="24" t="s">
        <v>61</v>
      </c>
      <c r="Z105" s="151"/>
      <c r="AA105" s="32"/>
      <c r="AB105" s="702">
        <f>X$17+X$19+X$21</f>
        <v>1099.8929411764705</v>
      </c>
      <c r="AC105" s="702"/>
      <c r="AD105" s="24" t="s">
        <v>63</v>
      </c>
      <c r="AE105" s="24"/>
      <c r="AF105" s="24"/>
      <c r="AG105" s="152"/>
      <c r="AH105" s="648">
        <f>(S105+U105+W105)*AB105</f>
        <v>25704.498035294117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255"/>
      <c r="J106" s="252"/>
      <c r="K106" s="252"/>
      <c r="L106" s="259"/>
      <c r="M106" s="259"/>
      <c r="N106" s="259"/>
      <c r="O106" s="259"/>
      <c r="P106" s="259"/>
      <c r="Q106" s="2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253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54"/>
      <c r="S107" s="254"/>
      <c r="T107" s="25"/>
      <c r="U107" s="25"/>
      <c r="V107" s="25"/>
      <c r="W107" s="165"/>
      <c r="X107" s="260"/>
      <c r="Y107" s="260"/>
      <c r="Z107" s="167"/>
      <c r="AA107" s="168"/>
      <c r="AB107" s="711">
        <f>SUM(AB105:AC105)</f>
        <v>1099.8929411764705</v>
      </c>
      <c r="AC107" s="711"/>
      <c r="AD107" s="169" t="s">
        <v>57</v>
      </c>
      <c r="AE107" s="25"/>
      <c r="AF107" s="25"/>
      <c r="AG107" s="25"/>
      <c r="AH107" s="712">
        <f>SUM(AH104:AK105)</f>
        <v>27416.633940294116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111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251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45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111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110</v>
      </c>
      <c r="W109" s="173">
        <f>W98</f>
        <v>14.55</v>
      </c>
      <c r="X109" s="258" t="s">
        <v>112</v>
      </c>
      <c r="Y109" s="259" t="s">
        <v>113</v>
      </c>
      <c r="Z109" s="665">
        <f>IF('様式11-5'!U$1="LPG",0,X$23)</f>
        <v>0</v>
      </c>
      <c r="AA109" s="665"/>
      <c r="AB109" s="23" t="s">
        <v>46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54"/>
      <c r="S110" s="254"/>
      <c r="T110" s="25"/>
      <c r="U110" s="25"/>
      <c r="V110" s="25"/>
      <c r="W110" s="165"/>
      <c r="X110" s="260"/>
      <c r="Y110" s="260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52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251" t="s">
        <v>51</v>
      </c>
      <c r="AD111" s="28"/>
      <c r="AE111" s="28"/>
      <c r="AF111" s="28"/>
      <c r="AG111" s="28"/>
      <c r="AH111" s="640">
        <f>IF(AH99+AH100=0,0,R111*AB111)</f>
        <v>1320</v>
      </c>
      <c r="AI111" s="641"/>
      <c r="AJ111" s="641"/>
      <c r="AK111" s="642"/>
      <c r="AL111" s="617" t="s">
        <v>52</v>
      </c>
      <c r="AM111" s="618"/>
      <c r="AN111" s="594">
        <f>AN34</f>
        <v>6</v>
      </c>
      <c r="AO111" s="595"/>
      <c r="AP111" s="613" t="s">
        <v>45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46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54"/>
      <c r="S113" s="254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1320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1285.8699999999999</v>
      </c>
      <c r="S115" s="548"/>
      <c r="T115" s="28" t="s">
        <v>71</v>
      </c>
      <c r="U115" s="28"/>
      <c r="V115" s="28"/>
      <c r="W115" s="549">
        <f>$W$27</f>
        <v>1.5664705882352945</v>
      </c>
      <c r="X115" s="549"/>
      <c r="Y115" s="28" t="s">
        <v>70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1712.1359050000003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72</v>
      </c>
      <c r="AQ115" s="662"/>
      <c r="AR115" s="663">
        <f>AN115*AB118/1000</f>
        <v>0.46733927294117633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197</v>
      </c>
      <c r="Q116" s="646"/>
      <c r="R116" s="34" t="s">
        <v>157</v>
      </c>
      <c r="S116" s="33">
        <f>IF(P116="夏季",料金単価!$D$3,料金単価!$E$3)</f>
        <v>12.63</v>
      </c>
      <c r="T116" s="148" t="s">
        <v>62</v>
      </c>
      <c r="U116" s="149">
        <f>$U$28</f>
        <v>7.29</v>
      </c>
      <c r="V116" s="148" t="s">
        <v>62</v>
      </c>
      <c r="W116" s="150">
        <f>$W$28</f>
        <v>3.45</v>
      </c>
      <c r="X116" s="151" t="s">
        <v>64</v>
      </c>
      <c r="Y116" s="24" t="s">
        <v>61</v>
      </c>
      <c r="Z116" s="151"/>
      <c r="AA116" s="32"/>
      <c r="AB116" s="702">
        <f>Z$17+Z$19+Z21</f>
        <v>1040.8447058823526</v>
      </c>
      <c r="AC116" s="702"/>
      <c r="AD116" s="24" t="s">
        <v>63</v>
      </c>
      <c r="AE116" s="24"/>
      <c r="AF116" s="24"/>
      <c r="AG116" s="152"/>
      <c r="AH116" s="648">
        <f>(S116+U116+W116)*AB116</f>
        <v>24324.540776470581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255"/>
      <c r="J117" s="252"/>
      <c r="K117" s="252"/>
      <c r="L117" s="259"/>
      <c r="M117" s="259"/>
      <c r="N117" s="259"/>
      <c r="O117" s="259"/>
      <c r="P117" s="259"/>
      <c r="Q117" s="2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253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54"/>
      <c r="S118" s="254"/>
      <c r="T118" s="25"/>
      <c r="U118" s="25"/>
      <c r="V118" s="25"/>
      <c r="W118" s="165"/>
      <c r="X118" s="260"/>
      <c r="Y118" s="260"/>
      <c r="Z118" s="167"/>
      <c r="AA118" s="168"/>
      <c r="AB118" s="711">
        <f>SUM(AB116:AC116)</f>
        <v>1040.8447058823526</v>
      </c>
      <c r="AC118" s="711"/>
      <c r="AD118" s="169" t="s">
        <v>57</v>
      </c>
      <c r="AE118" s="25"/>
      <c r="AF118" s="25"/>
      <c r="AG118" s="25"/>
      <c r="AH118" s="712">
        <f>SUM(AH115:AK116)</f>
        <v>26036.676681470581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111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251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45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111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110</v>
      </c>
      <c r="W120" s="173">
        <f>W109</f>
        <v>14.55</v>
      </c>
      <c r="X120" s="258" t="s">
        <v>112</v>
      </c>
      <c r="Y120" s="259" t="s">
        <v>113</v>
      </c>
      <c r="Z120" s="665">
        <f>IF('様式11-5'!U$1="LPG",0,Z$23)</f>
        <v>0</v>
      </c>
      <c r="AA120" s="665"/>
      <c r="AB120" s="23" t="s">
        <v>46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54"/>
      <c r="S121" s="254"/>
      <c r="T121" s="25"/>
      <c r="U121" s="25"/>
      <c r="V121" s="25"/>
      <c r="W121" s="165"/>
      <c r="X121" s="260"/>
      <c r="Y121" s="260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52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251" t="s">
        <v>51</v>
      </c>
      <c r="AD122" s="28"/>
      <c r="AE122" s="28"/>
      <c r="AF122" s="28"/>
      <c r="AG122" s="28"/>
      <c r="AH122" s="640">
        <f>IF(AH110+AH111=0,0,R122*AB122)</f>
        <v>1320</v>
      </c>
      <c r="AI122" s="641"/>
      <c r="AJ122" s="641"/>
      <c r="AK122" s="642"/>
      <c r="AL122" s="617" t="s">
        <v>52</v>
      </c>
      <c r="AM122" s="618"/>
      <c r="AN122" s="594">
        <f>AN34</f>
        <v>6</v>
      </c>
      <c r="AO122" s="595"/>
      <c r="AP122" s="613" t="s">
        <v>45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46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54"/>
      <c r="S124" s="254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1320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1285.8699999999999</v>
      </c>
      <c r="S126" s="548"/>
      <c r="T126" s="28" t="s">
        <v>71</v>
      </c>
      <c r="U126" s="28"/>
      <c r="V126" s="28"/>
      <c r="W126" s="549">
        <f>$W$27</f>
        <v>1.5664705882352945</v>
      </c>
      <c r="X126" s="549"/>
      <c r="Y126" s="28" t="s">
        <v>70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1712.1359050000003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72</v>
      </c>
      <c r="AQ126" s="662"/>
      <c r="AR126" s="663">
        <f>AN126*AB129/1000</f>
        <v>0.21990118352941176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203</v>
      </c>
      <c r="M127" s="618"/>
      <c r="N127" s="618"/>
      <c r="O127" s="678"/>
      <c r="P127" s="643" t="s">
        <v>197</v>
      </c>
      <c r="Q127" s="646"/>
      <c r="R127" s="34" t="s">
        <v>157</v>
      </c>
      <c r="S127" s="33">
        <f>IF(P127="夏季",料金単価!$D$3,料金単価!$E$3)</f>
        <v>12.63</v>
      </c>
      <c r="T127" s="148" t="s">
        <v>62</v>
      </c>
      <c r="U127" s="149">
        <f>$U$28</f>
        <v>7.29</v>
      </c>
      <c r="V127" s="148" t="s">
        <v>62</v>
      </c>
      <c r="W127" s="150">
        <f>$W$28</f>
        <v>3.45</v>
      </c>
      <c r="X127" s="151" t="s">
        <v>64</v>
      </c>
      <c r="Y127" s="24" t="s">
        <v>61</v>
      </c>
      <c r="Z127" s="151"/>
      <c r="AA127" s="32"/>
      <c r="AB127" s="702">
        <f>AB$17+AB$19+AB21</f>
        <v>489.75764705882352</v>
      </c>
      <c r="AC127" s="702"/>
      <c r="AD127" s="24" t="s">
        <v>63</v>
      </c>
      <c r="AE127" s="24"/>
      <c r="AF127" s="24"/>
      <c r="AG127" s="152"/>
      <c r="AH127" s="648">
        <f>(S127+U127+W127)*AB127</f>
        <v>11445.636211764706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255"/>
      <c r="J128" s="252"/>
      <c r="K128" s="252"/>
      <c r="L128" s="259"/>
      <c r="M128" s="259"/>
      <c r="N128" s="259"/>
      <c r="O128" s="259"/>
      <c r="P128" s="259"/>
      <c r="Q128" s="2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253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54"/>
      <c r="S129" s="254"/>
      <c r="T129" s="25"/>
      <c r="U129" s="25"/>
      <c r="V129" s="25"/>
      <c r="W129" s="165"/>
      <c r="X129" s="260"/>
      <c r="Y129" s="260"/>
      <c r="Z129" s="167"/>
      <c r="AA129" s="168"/>
      <c r="AB129" s="711">
        <f>SUM(AB127:AC127)</f>
        <v>489.75764705882352</v>
      </c>
      <c r="AC129" s="711"/>
      <c r="AD129" s="169" t="s">
        <v>57</v>
      </c>
      <c r="AE129" s="25"/>
      <c r="AF129" s="25"/>
      <c r="AG129" s="25"/>
      <c r="AH129" s="712">
        <f>SUM(AH126:AK127)</f>
        <v>13157.772116764707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111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251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45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111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110</v>
      </c>
      <c r="W131" s="173">
        <f>W120</f>
        <v>14.55</v>
      </c>
      <c r="X131" s="258" t="s">
        <v>112</v>
      </c>
      <c r="Y131" s="259" t="s">
        <v>113</v>
      </c>
      <c r="Z131" s="665">
        <f>IF('様式11-5'!U$1="LPG",0,AB$23)</f>
        <v>0</v>
      </c>
      <c r="AA131" s="665"/>
      <c r="AB131" s="23" t="s">
        <v>46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54"/>
      <c r="S132" s="254"/>
      <c r="T132" s="25"/>
      <c r="U132" s="25"/>
      <c r="V132" s="25"/>
      <c r="W132" s="165"/>
      <c r="X132" s="260"/>
      <c r="Y132" s="260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52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251" t="s">
        <v>51</v>
      </c>
      <c r="AD133" s="28"/>
      <c r="AE133" s="28"/>
      <c r="AF133" s="28"/>
      <c r="AG133" s="28"/>
      <c r="AH133" s="640">
        <f>IF(AH121+AH122=0,0,R133*AB133)</f>
        <v>1320</v>
      </c>
      <c r="AI133" s="641"/>
      <c r="AJ133" s="641"/>
      <c r="AK133" s="642"/>
      <c r="AL133" s="617" t="s">
        <v>52</v>
      </c>
      <c r="AM133" s="618"/>
      <c r="AN133" s="594">
        <f>AN34</f>
        <v>6</v>
      </c>
      <c r="AO133" s="595"/>
      <c r="AP133" s="613" t="s">
        <v>45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46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54"/>
      <c r="S135" s="254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1320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1285.8699999999999</v>
      </c>
      <c r="S137" s="548"/>
      <c r="T137" s="28" t="s">
        <v>71</v>
      </c>
      <c r="U137" s="28"/>
      <c r="V137" s="28"/>
      <c r="W137" s="549">
        <f>$W$27</f>
        <v>1.5664705882352945</v>
      </c>
      <c r="X137" s="549"/>
      <c r="Y137" s="28" t="s">
        <v>70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1712.1359050000003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72</v>
      </c>
      <c r="AQ137" s="662"/>
      <c r="AR137" s="663">
        <f>AN137*AB140/1000</f>
        <v>1.1409882352941179E-2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203</v>
      </c>
      <c r="M138" s="618"/>
      <c r="N138" s="618"/>
      <c r="O138" s="678"/>
      <c r="P138" s="643" t="s">
        <v>197</v>
      </c>
      <c r="Q138" s="646"/>
      <c r="R138" s="34" t="s">
        <v>157</v>
      </c>
      <c r="S138" s="33">
        <f>IF(P138="夏季",料金単価!$D$3,料金単価!$E$3)</f>
        <v>12.63</v>
      </c>
      <c r="T138" s="148" t="s">
        <v>62</v>
      </c>
      <c r="U138" s="149">
        <f>$U$28</f>
        <v>7.29</v>
      </c>
      <c r="V138" s="148" t="s">
        <v>62</v>
      </c>
      <c r="W138" s="150">
        <f>$W$28</f>
        <v>3.45</v>
      </c>
      <c r="X138" s="151" t="s">
        <v>64</v>
      </c>
      <c r="Y138" s="24" t="s">
        <v>61</v>
      </c>
      <c r="Z138" s="151"/>
      <c r="AA138" s="32"/>
      <c r="AB138" s="702">
        <f>AD$17+AD$19+AD$21</f>
        <v>25.411764705882359</v>
      </c>
      <c r="AC138" s="702"/>
      <c r="AD138" s="24" t="s">
        <v>63</v>
      </c>
      <c r="AE138" s="24"/>
      <c r="AF138" s="24"/>
      <c r="AG138" s="152"/>
      <c r="AH138" s="648">
        <f>(S138+U138+W138)*AB138</f>
        <v>593.8729411764707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255"/>
      <c r="J139" s="252"/>
      <c r="K139" s="252"/>
      <c r="L139" s="259"/>
      <c r="M139" s="259"/>
      <c r="N139" s="259"/>
      <c r="O139" s="259"/>
      <c r="P139" s="259"/>
      <c r="Q139" s="2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253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54"/>
      <c r="S140" s="254"/>
      <c r="T140" s="25"/>
      <c r="U140" s="25"/>
      <c r="V140" s="25"/>
      <c r="W140" s="165"/>
      <c r="X140" s="260"/>
      <c r="Y140" s="260"/>
      <c r="Z140" s="167"/>
      <c r="AA140" s="168"/>
      <c r="AB140" s="711">
        <f>SUM(AB138:AC138)</f>
        <v>25.411764705882359</v>
      </c>
      <c r="AC140" s="711"/>
      <c r="AD140" s="169" t="s">
        <v>57</v>
      </c>
      <c r="AE140" s="25"/>
      <c r="AF140" s="25"/>
      <c r="AG140" s="25"/>
      <c r="AH140" s="712">
        <f>SUM(AH137:AK138)</f>
        <v>2306.0088461764708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111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251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45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111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110</v>
      </c>
      <c r="W142" s="173">
        <f>W131</f>
        <v>14.55</v>
      </c>
      <c r="X142" s="258" t="s">
        <v>112</v>
      </c>
      <c r="Y142" s="259" t="s">
        <v>113</v>
      </c>
      <c r="Z142" s="665">
        <f>IF('様式11-5'!U$1="LPG",0,AD$22)</f>
        <v>0</v>
      </c>
      <c r="AA142" s="665"/>
      <c r="AB142" s="23" t="s">
        <v>46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54"/>
      <c r="S143" s="254"/>
      <c r="T143" s="25"/>
      <c r="U143" s="25"/>
      <c r="V143" s="25"/>
      <c r="W143" s="165"/>
      <c r="X143" s="260"/>
      <c r="Y143" s="260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52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251" t="s">
        <v>51</v>
      </c>
      <c r="AD144" s="28"/>
      <c r="AE144" s="28"/>
      <c r="AF144" s="28"/>
      <c r="AG144" s="28"/>
      <c r="AH144" s="640">
        <f>IF(AH132+AH133=0,0,R144*AB144)</f>
        <v>1320</v>
      </c>
      <c r="AI144" s="641"/>
      <c r="AJ144" s="641"/>
      <c r="AK144" s="642"/>
      <c r="AL144" s="617" t="s">
        <v>52</v>
      </c>
      <c r="AM144" s="618"/>
      <c r="AN144" s="594">
        <f>AN45</f>
        <v>6</v>
      </c>
      <c r="AO144" s="595"/>
      <c r="AP144" s="613" t="s">
        <v>45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46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54"/>
      <c r="S146" s="254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1320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1285.8699999999999</v>
      </c>
      <c r="S148" s="548"/>
      <c r="T148" s="28" t="s">
        <v>71</v>
      </c>
      <c r="U148" s="28"/>
      <c r="V148" s="28"/>
      <c r="W148" s="549">
        <f>$W$27</f>
        <v>1.5664705882352945</v>
      </c>
      <c r="X148" s="549"/>
      <c r="Y148" s="28" t="s">
        <v>70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1712.1359050000003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72</v>
      </c>
      <c r="AQ148" s="662"/>
      <c r="AR148" s="663">
        <f>AN148*AB151/1000</f>
        <v>1.1790211764705886E-2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197</v>
      </c>
      <c r="Q149" s="646"/>
      <c r="R149" s="34" t="s">
        <v>157</v>
      </c>
      <c r="S149" s="33">
        <f>IF(P149="夏季",料金単価!$D$3,料金単価!$E$3)</f>
        <v>12.63</v>
      </c>
      <c r="T149" s="148" t="s">
        <v>62</v>
      </c>
      <c r="U149" s="149">
        <f>$U$28</f>
        <v>7.29</v>
      </c>
      <c r="V149" s="148" t="s">
        <v>62</v>
      </c>
      <c r="W149" s="150">
        <f>$W$28</f>
        <v>3.45</v>
      </c>
      <c r="X149" s="151" t="s">
        <v>64</v>
      </c>
      <c r="Y149" s="24" t="s">
        <v>61</v>
      </c>
      <c r="Z149" s="151"/>
      <c r="AA149" s="32"/>
      <c r="AB149" s="702">
        <f>AF$17+AF$19+AF$21</f>
        <v>26.258823529411771</v>
      </c>
      <c r="AC149" s="702"/>
      <c r="AD149" s="24" t="s">
        <v>63</v>
      </c>
      <c r="AE149" s="24"/>
      <c r="AF149" s="24"/>
      <c r="AG149" s="152"/>
      <c r="AH149" s="648">
        <f>(S149+U149+W149)*AB149</f>
        <v>613.66870588235315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255"/>
      <c r="J150" s="252"/>
      <c r="K150" s="252"/>
      <c r="L150" s="259"/>
      <c r="M150" s="259"/>
      <c r="N150" s="259"/>
      <c r="O150" s="259"/>
      <c r="P150" s="259"/>
      <c r="Q150" s="2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253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54"/>
      <c r="S151" s="254"/>
      <c r="T151" s="25"/>
      <c r="U151" s="25"/>
      <c r="V151" s="25"/>
      <c r="W151" s="165"/>
      <c r="X151" s="260"/>
      <c r="Y151" s="260"/>
      <c r="Z151" s="167"/>
      <c r="AA151" s="168"/>
      <c r="AB151" s="711">
        <f>SUM(AB149:AC149)</f>
        <v>26.258823529411771</v>
      </c>
      <c r="AC151" s="711"/>
      <c r="AD151" s="169" t="s">
        <v>57</v>
      </c>
      <c r="AE151" s="25"/>
      <c r="AF151" s="25"/>
      <c r="AG151" s="25"/>
      <c r="AH151" s="712">
        <f>SUM(AH148:AK149)</f>
        <v>2325.8046108823537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111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251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45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111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110</v>
      </c>
      <c r="W153" s="173">
        <f>W142</f>
        <v>14.55</v>
      </c>
      <c r="X153" s="258" t="s">
        <v>112</v>
      </c>
      <c r="Y153" s="259" t="s">
        <v>113</v>
      </c>
      <c r="Z153" s="665">
        <f>IF('様式11-5'!U$1="LPG",0,AF$22)</f>
        <v>0</v>
      </c>
      <c r="AA153" s="665"/>
      <c r="AB153" s="23" t="s">
        <v>46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54"/>
      <c r="S154" s="254"/>
      <c r="T154" s="25"/>
      <c r="U154" s="25"/>
      <c r="V154" s="25"/>
      <c r="W154" s="165"/>
      <c r="X154" s="260"/>
      <c r="Y154" s="260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52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251" t="s">
        <v>51</v>
      </c>
      <c r="AD155" s="28"/>
      <c r="AE155" s="28"/>
      <c r="AF155" s="28"/>
      <c r="AG155" s="28"/>
      <c r="AH155" s="640">
        <f>IF(AH143+AH144=0,0,R155*AB155)</f>
        <v>1320</v>
      </c>
      <c r="AI155" s="641"/>
      <c r="AJ155" s="641"/>
      <c r="AK155" s="642"/>
      <c r="AL155" s="617" t="s">
        <v>52</v>
      </c>
      <c r="AM155" s="618"/>
      <c r="AN155" s="594">
        <f>AN56</f>
        <v>6</v>
      </c>
      <c r="AO155" s="595"/>
      <c r="AP155" s="613" t="s">
        <v>45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46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54"/>
      <c r="S157" s="254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1320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249"/>
      <c r="C158" s="249"/>
      <c r="D158" s="249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249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250"/>
      <c r="D159" s="25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25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20545.630860000005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72</v>
      </c>
      <c r="AQ161" s="662"/>
      <c r="AR161" s="663">
        <f>AN161*AB166/1000</f>
        <v>1.9740797388235292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677.99529411764706</v>
      </c>
      <c r="AC162" s="557"/>
      <c r="AD162" s="24" t="s">
        <v>63</v>
      </c>
      <c r="AE162" s="24"/>
      <c r="AF162" s="24"/>
      <c r="AG162" s="152"/>
      <c r="AH162" s="648">
        <f>AH39+AH61+AH50</f>
        <v>16427.825976470591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161.70000000000005</v>
      </c>
      <c r="AC163" s="557"/>
      <c r="AD163" s="24" t="s">
        <v>63</v>
      </c>
      <c r="AE163" s="24"/>
      <c r="AF163" s="24"/>
      <c r="AG163" s="152"/>
      <c r="AH163" s="648">
        <f>AH28+AH72+AH149</f>
        <v>3778.929000000001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3556.9188235294114</v>
      </c>
      <c r="AC164" s="647"/>
      <c r="AD164" s="30" t="s">
        <v>63</v>
      </c>
      <c r="AE164" s="30"/>
      <c r="AF164" s="30"/>
      <c r="AG164" s="253"/>
      <c r="AH164" s="648">
        <f>AH94+AH105+AH116+AH127+AH83+AH138</f>
        <v>83125.192905882344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255"/>
      <c r="J165" s="252"/>
      <c r="K165" s="252"/>
      <c r="L165" s="259"/>
      <c r="M165" s="259"/>
      <c r="N165" s="259"/>
      <c r="O165" s="259"/>
      <c r="P165" s="259"/>
      <c r="Q165" s="2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262"/>
      <c r="AC165" s="262"/>
      <c r="AD165" s="30"/>
      <c r="AE165" s="30"/>
      <c r="AF165" s="30"/>
      <c r="AG165" s="253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9"/>
      <c r="C166" s="620"/>
      <c r="D166" s="932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4396.6141176470583</v>
      </c>
      <c r="AC166" s="701"/>
      <c r="AD166" s="344" t="s">
        <v>57</v>
      </c>
      <c r="AE166" s="337"/>
      <c r="AF166" s="337"/>
      <c r="AG166" s="337"/>
      <c r="AH166" s="652">
        <f>SUM(AH161:AK164)</f>
        <v>123877.57874235294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45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258"/>
      <c r="Y168" s="259"/>
      <c r="Z168" s="257"/>
      <c r="AA168" s="189"/>
      <c r="AB168" s="557">
        <f>Z32+Z43+Z65+Z54+Z76+Z87+Z142+Z153</f>
        <v>0</v>
      </c>
      <c r="AC168" s="557"/>
      <c r="AD168" s="23" t="s">
        <v>46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258"/>
      <c r="Y169" s="259"/>
      <c r="Z169" s="271"/>
      <c r="AA169" s="271"/>
      <c r="AB169" s="562">
        <f>Z98+Z109+Z120+Z131</f>
        <v>0</v>
      </c>
      <c r="AC169" s="562"/>
      <c r="AD169" s="23" t="s">
        <v>46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52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15840</v>
      </c>
      <c r="AI171" s="641"/>
      <c r="AJ171" s="641"/>
      <c r="AK171" s="642"/>
      <c r="AL171" s="617" t="s">
        <v>52</v>
      </c>
      <c r="AM171" s="618"/>
      <c r="AN171" s="594">
        <f>AN34</f>
        <v>6</v>
      </c>
      <c r="AO171" s="595"/>
      <c r="AP171" s="613" t="s">
        <v>45</v>
      </c>
      <c r="AQ171" s="614"/>
      <c r="AR171" s="625">
        <f>AN171*AB173/1000</f>
        <v>0.80541176470588238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134.23529411764707</v>
      </c>
      <c r="AC172" s="562"/>
      <c r="AD172" s="23" t="s">
        <v>46</v>
      </c>
      <c r="AE172" s="23"/>
      <c r="AF172" s="23"/>
      <c r="AG172" s="23"/>
      <c r="AH172" s="558">
        <f>AH35+AH46+AH68+AH101+AH112+AH123+AH134+AH57+AH79+AH90+AH145+AH156</f>
        <v>59063.529411764706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134.23529411764707</v>
      </c>
      <c r="AC173" s="667"/>
      <c r="AD173" s="347" t="s">
        <v>43</v>
      </c>
      <c r="AE173" s="347"/>
      <c r="AF173" s="347"/>
      <c r="AG173" s="347"/>
      <c r="AH173" s="671">
        <f>SUM(AH171:AK172)</f>
        <v>74903.529411764699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195"/>
      <c r="AE174" s="563" t="s">
        <v>218</v>
      </c>
      <c r="AF174" s="564"/>
      <c r="AG174" s="565"/>
      <c r="AH174" s="566">
        <f>+AH166+AH170+AH173</f>
        <v>198781.10815411765</v>
      </c>
      <c r="AI174" s="567"/>
      <c r="AJ174" s="567"/>
      <c r="AK174" s="568"/>
      <c r="AP174" s="563" t="s">
        <v>1</v>
      </c>
      <c r="AQ174" s="564"/>
      <c r="AR174" s="569">
        <f>SUM(AR161:AT173)</f>
        <v>2.7794915035294117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440.98436485928363</v>
      </c>
      <c r="AO177" s="582"/>
      <c r="AP177" s="583" t="s">
        <v>220</v>
      </c>
      <c r="AQ177" s="584"/>
      <c r="AR177" s="585">
        <f>AN177*0.0258</f>
        <v>11.377396613369518</v>
      </c>
      <c r="AS177" s="585"/>
      <c r="AT177" s="585"/>
      <c r="AU177" s="586" t="s">
        <v>119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220</v>
      </c>
      <c r="AQ178" s="584"/>
      <c r="AR178" s="585">
        <f>AN178*0.0258</f>
        <v>0</v>
      </c>
      <c r="AS178" s="585"/>
      <c r="AT178" s="585"/>
      <c r="AU178" s="586" t="s">
        <v>119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116</v>
      </c>
      <c r="AM179" s="599"/>
      <c r="AN179" s="600">
        <f>AB173/92.9</f>
        <v>1.4449439625150384</v>
      </c>
      <c r="AO179" s="601"/>
      <c r="AP179" s="602" t="s">
        <v>220</v>
      </c>
      <c r="AQ179" s="603"/>
      <c r="AR179" s="604">
        <f>AN179*0.0258</f>
        <v>3.7279554232887993E-2</v>
      </c>
      <c r="AS179" s="604"/>
      <c r="AT179" s="604"/>
      <c r="AU179" s="629" t="s">
        <v>119</v>
      </c>
      <c r="AV179" s="630"/>
    </row>
    <row r="180" spans="2:48" ht="14.25" thickBot="1">
      <c r="AP180" s="573" t="s">
        <v>1</v>
      </c>
      <c r="AQ180" s="574"/>
      <c r="AR180" s="575">
        <f>SUM(AR177:AT179)</f>
        <v>11.414676167602407</v>
      </c>
      <c r="AS180" s="576"/>
      <c r="AT180" s="576"/>
      <c r="AU180" s="577" t="s">
        <v>119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AL179:AM179"/>
    <mergeCell ref="AN179:AO179"/>
    <mergeCell ref="AP179:AQ179"/>
    <mergeCell ref="AR179:AT179"/>
    <mergeCell ref="AP174:AQ174"/>
    <mergeCell ref="AR174:AT174"/>
    <mergeCell ref="AU174:AV174"/>
    <mergeCell ref="AU179:AV179"/>
    <mergeCell ref="AL171:AM173"/>
    <mergeCell ref="B167:D173"/>
    <mergeCell ref="E167:H169"/>
    <mergeCell ref="S167:T167"/>
    <mergeCell ref="AH167:AK167"/>
    <mergeCell ref="AH169:AK169"/>
    <mergeCell ref="P164:Q164"/>
    <mergeCell ref="AB164:AC164"/>
    <mergeCell ref="AH164:AK164"/>
    <mergeCell ref="AB170:AC170"/>
    <mergeCell ref="AH170:AK170"/>
    <mergeCell ref="AR171:AT173"/>
    <mergeCell ref="AU171:AV173"/>
    <mergeCell ref="AR167:AT170"/>
    <mergeCell ref="AH161:AK161"/>
    <mergeCell ref="AL161:AM166"/>
    <mergeCell ref="AN161:AO166"/>
    <mergeCell ref="AP161:AQ166"/>
    <mergeCell ref="E170:H170"/>
    <mergeCell ref="L164:O164"/>
    <mergeCell ref="E171:H172"/>
    <mergeCell ref="R171:S171"/>
    <mergeCell ref="AH171:AK171"/>
    <mergeCell ref="R172:S172"/>
    <mergeCell ref="X172:Y172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N160:AQ160"/>
    <mergeCell ref="AR160:AV160"/>
    <mergeCell ref="AN167:AO170"/>
    <mergeCell ref="AP167:AQ170"/>
    <mergeCell ref="E161:H165"/>
    <mergeCell ref="R161:S161"/>
    <mergeCell ref="W161:X161"/>
    <mergeCell ref="AU167:AV170"/>
    <mergeCell ref="S168:T168"/>
    <mergeCell ref="AB168:AC168"/>
    <mergeCell ref="S169:T169"/>
    <mergeCell ref="AB169:AC169"/>
    <mergeCell ref="AL152:AM154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AE174:AG174"/>
    <mergeCell ref="AH174:AK174"/>
    <mergeCell ref="S153:T153"/>
    <mergeCell ref="Z153:AA153"/>
    <mergeCell ref="AH153:AK153"/>
    <mergeCell ref="X173:Y173"/>
    <mergeCell ref="AB173:AC173"/>
    <mergeCell ref="AH172:AK172"/>
    <mergeCell ref="AL167:AM170"/>
    <mergeCell ref="AH163:AK163"/>
    <mergeCell ref="R144:S144"/>
    <mergeCell ref="Z154:AA154"/>
    <mergeCell ref="AH154:AK154"/>
    <mergeCell ref="X157:Y157"/>
    <mergeCell ref="AH157:AK157"/>
    <mergeCell ref="AH155:AK155"/>
    <mergeCell ref="AP144:AQ146"/>
    <mergeCell ref="E151:H151"/>
    <mergeCell ref="AB151:AC151"/>
    <mergeCell ref="AH151:AK151"/>
    <mergeCell ref="AP148:AQ151"/>
    <mergeCell ref="C148:D151"/>
    <mergeCell ref="E148:H150"/>
    <mergeCell ref="R148:S148"/>
    <mergeCell ref="W148:X148"/>
    <mergeCell ref="AH148:AK148"/>
    <mergeCell ref="AL148:AM151"/>
    <mergeCell ref="AN148:AO151"/>
    <mergeCell ref="B160:D160"/>
    <mergeCell ref="B161:D166"/>
    <mergeCell ref="B148:B157"/>
    <mergeCell ref="E147:H147"/>
    <mergeCell ref="I147:Q147"/>
    <mergeCell ref="R147:AG147"/>
    <mergeCell ref="AH147:AK147"/>
    <mergeCell ref="AL147:AM147"/>
    <mergeCell ref="C141:D146"/>
    <mergeCell ref="AB172:AC172"/>
    <mergeCell ref="AH168:AK168"/>
    <mergeCell ref="AP141:AQ143"/>
    <mergeCell ref="AR141:AT143"/>
    <mergeCell ref="AN147:AQ147"/>
    <mergeCell ref="AR147:AV147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AU155:AV157"/>
    <mergeCell ref="AR148:AT151"/>
    <mergeCell ref="AU148:AV151"/>
    <mergeCell ref="AU141:AV143"/>
    <mergeCell ref="AR144:AT146"/>
    <mergeCell ref="AU144:AV146"/>
    <mergeCell ref="B147:D147"/>
    <mergeCell ref="E157:H157"/>
    <mergeCell ref="E160:H160"/>
    <mergeCell ref="AN152:AO154"/>
    <mergeCell ref="AP152:AQ154"/>
    <mergeCell ref="AR152:AT154"/>
    <mergeCell ref="AU152:AV154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AB138:AC138"/>
    <mergeCell ref="AH138:AK138"/>
    <mergeCell ref="AH139:AK139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AL141:AM143"/>
    <mergeCell ref="R145:S145"/>
    <mergeCell ref="X145:Y145"/>
    <mergeCell ref="AH145:AK145"/>
    <mergeCell ref="E146:H146"/>
    <mergeCell ref="X146:Y146"/>
    <mergeCell ref="AH146:AK146"/>
    <mergeCell ref="AN141:AO143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N136:AQ136"/>
    <mergeCell ref="AR136:AV136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L21:AV21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料金単価!$B$21:$B$28</xm:f>
          </x14:formula1>
          <xm:sqref>Y1:AK1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X180"/>
  <sheetViews>
    <sheetView view="pageBreakPreview" zoomScaleNormal="115" zoomScaleSheetLayoutView="100" workbookViewId="0">
      <selection activeCell="AN92" sqref="AN92:AQ92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9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9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9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9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9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9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9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9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9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9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9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9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9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9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9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9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9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9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9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9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9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9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9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9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9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9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9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9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9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9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9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9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9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9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9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9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9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9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9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9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9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9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9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9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9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9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9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9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9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9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9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9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9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9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9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9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9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9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9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9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9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9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9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9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SUMIF(料金単価!$B$21:$B$28,'様式11-6⑤'!$Y$1,料金単価!$A$21:$A$28)</f>
        <v>5</v>
      </c>
      <c r="Y1" s="937" t="s">
        <v>374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41"/>
      <c r="L2" s="141"/>
      <c r="M2" s="142"/>
      <c r="N2" s="142"/>
      <c r="O2" s="142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14</v>
      </c>
      <c r="M7" s="912"/>
      <c r="N7" s="766" t="s">
        <v>378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17</v>
      </c>
      <c r="W7" s="927"/>
      <c r="X7" s="766">
        <v>16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8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8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150</v>
      </c>
      <c r="K9" s="886"/>
      <c r="L9" s="886">
        <f>+L7*$J$8</f>
        <v>112</v>
      </c>
      <c r="M9" s="886"/>
      <c r="N9" s="886" t="str">
        <f>IF(N7="-","-",+N7*$J$8)</f>
        <v>-</v>
      </c>
      <c r="O9" s="886"/>
      <c r="P9" s="886">
        <f>+P7*$J$8</f>
        <v>104</v>
      </c>
      <c r="Q9" s="886"/>
      <c r="R9" s="887" t="s">
        <v>150</v>
      </c>
      <c r="S9" s="850"/>
      <c r="T9" s="850" t="s">
        <v>150</v>
      </c>
      <c r="U9" s="851"/>
      <c r="V9" s="887" t="s">
        <v>150</v>
      </c>
      <c r="W9" s="850"/>
      <c r="X9" s="850" t="s">
        <v>150</v>
      </c>
      <c r="Y9" s="850"/>
      <c r="Z9" s="850" t="s">
        <v>150</v>
      </c>
      <c r="AA9" s="850"/>
      <c r="AB9" s="850" t="s">
        <v>150</v>
      </c>
      <c r="AC9" s="851"/>
      <c r="AD9" s="887" t="s">
        <v>150</v>
      </c>
      <c r="AE9" s="850"/>
      <c r="AF9" s="850" t="s">
        <v>150</v>
      </c>
      <c r="AG9" s="851"/>
      <c r="AH9" s="930">
        <f>SUM(J9:AG9)</f>
        <v>216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120</v>
      </c>
      <c r="K10" s="797"/>
      <c r="L10" s="797" t="s">
        <v>150</v>
      </c>
      <c r="M10" s="797"/>
      <c r="N10" s="797" t="s">
        <v>150</v>
      </c>
      <c r="O10" s="797"/>
      <c r="P10" s="797" t="s">
        <v>150</v>
      </c>
      <c r="Q10" s="799"/>
      <c r="R10" s="845" t="str">
        <f>IF(R7="-","-",+R7*$R$8)</f>
        <v>-</v>
      </c>
      <c r="S10" s="846"/>
      <c r="T10" s="846" t="s">
        <v>150</v>
      </c>
      <c r="U10" s="876"/>
      <c r="V10" s="845">
        <f>IF(V7="-","-",+V7*$V$8)</f>
        <v>136</v>
      </c>
      <c r="W10" s="846"/>
      <c r="X10" s="847">
        <f>IF(X7="-","-",+X7*$V$8)</f>
        <v>128</v>
      </c>
      <c r="Y10" s="874"/>
      <c r="Z10" s="847">
        <f>IF(Z7="-","-",+Z7*$V$8)</f>
        <v>144</v>
      </c>
      <c r="AA10" s="874"/>
      <c r="AB10" s="847">
        <f>IF(AB7="-","-",+AB7*$V$8)</f>
        <v>112</v>
      </c>
      <c r="AC10" s="875"/>
      <c r="AD10" s="845" t="s">
        <v>150</v>
      </c>
      <c r="AE10" s="846"/>
      <c r="AF10" s="846" t="str">
        <f>IF(AF7="-","-",+AF7*$AF$8)</f>
        <v>-</v>
      </c>
      <c r="AG10" s="876"/>
      <c r="AH10" s="828">
        <f>SUM(J10:AG10)</f>
        <v>640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0.27999999999999997</v>
      </c>
      <c r="K11" s="900"/>
      <c r="L11" s="900">
        <f>70%*SUMIF(室名リスト!$L$3:$L$10,$X$1,室名リスト!$N$3:$N$10)</f>
        <v>0.55999999999999994</v>
      </c>
      <c r="M11" s="900"/>
      <c r="N11" s="900">
        <f>80%*SUMIF(室名リスト!$L$3:$L$10,$X$1,室名リスト!$N$3:$N$10)</f>
        <v>0.64000000000000012</v>
      </c>
      <c r="O11" s="900"/>
      <c r="P11" s="900">
        <f>50%*SUMIF(室名リスト!$L$3:$L$10,$X$1,室名リスト!$N$3:$N$10)</f>
        <v>0.4</v>
      </c>
      <c r="Q11" s="901"/>
      <c r="R11" s="902" t="s">
        <v>150</v>
      </c>
      <c r="S11" s="892"/>
      <c r="T11" s="836" t="s">
        <v>150</v>
      </c>
      <c r="U11" s="871"/>
      <c r="V11" s="872">
        <f>45%*SUMIF(室名リスト!$L$3:$L$10,$X$1,室名リスト!$N$3:$N$10)</f>
        <v>0.36000000000000004</v>
      </c>
      <c r="W11" s="873"/>
      <c r="X11" s="873">
        <f>60%*SUMIF(室名リスト!$L$3:$L$10,$X$1,室名リスト!$N$3:$N$10)</f>
        <v>0.48</v>
      </c>
      <c r="Y11" s="873"/>
      <c r="Z11" s="873">
        <f>60%*SUMIF(室名リスト!$L$3:$L$10,$X$1,室名リスト!$N$3:$N$10)</f>
        <v>0.48</v>
      </c>
      <c r="AA11" s="873"/>
      <c r="AB11" s="873">
        <f>35%*SUMIF(室名リスト!$L$3:$L$10,$X$1,室名リスト!$N$3:$N$10)</f>
        <v>0.27999999999999997</v>
      </c>
      <c r="AC11" s="891"/>
      <c r="AD11" s="838" t="s">
        <v>82</v>
      </c>
      <c r="AE11" s="836"/>
      <c r="AF11" s="892" t="s">
        <v>150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150</v>
      </c>
      <c r="K12" s="788"/>
      <c r="L12" s="788">
        <f>+L9*L11</f>
        <v>62.719999999999992</v>
      </c>
      <c r="M12" s="788"/>
      <c r="N12" s="788" t="str">
        <f>IF(N9="-","-",+N9*N11)</f>
        <v>-</v>
      </c>
      <c r="O12" s="788"/>
      <c r="P12" s="788">
        <f>+P9*P11</f>
        <v>41.6</v>
      </c>
      <c r="Q12" s="788"/>
      <c r="R12" s="838" t="s">
        <v>150</v>
      </c>
      <c r="S12" s="836"/>
      <c r="T12" s="836" t="s">
        <v>150</v>
      </c>
      <c r="U12" s="871"/>
      <c r="V12" s="887" t="s">
        <v>150</v>
      </c>
      <c r="W12" s="850"/>
      <c r="X12" s="850" t="s">
        <v>150</v>
      </c>
      <c r="Y12" s="850"/>
      <c r="Z12" s="850" t="s">
        <v>150</v>
      </c>
      <c r="AA12" s="850"/>
      <c r="AB12" s="850" t="s">
        <v>150</v>
      </c>
      <c r="AC12" s="851"/>
      <c r="AD12" s="838" t="s">
        <v>150</v>
      </c>
      <c r="AE12" s="836"/>
      <c r="AF12" s="836" t="s">
        <v>150</v>
      </c>
      <c r="AG12" s="837"/>
      <c r="AH12" s="775">
        <f t="shared" ref="AH12:AH21" si="0">SUM(J12:AG12)</f>
        <v>104.32</v>
      </c>
      <c r="AI12" s="755"/>
      <c r="AJ12" s="755">
        <f>SUM(AH12:AI13)</f>
        <v>348.79999999999995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33.599999999999994</v>
      </c>
      <c r="K13" s="797"/>
      <c r="L13" s="797" t="s">
        <v>150</v>
      </c>
      <c r="M13" s="797"/>
      <c r="N13" s="797" t="s">
        <v>150</v>
      </c>
      <c r="O13" s="797"/>
      <c r="P13" s="797" t="s">
        <v>150</v>
      </c>
      <c r="Q13" s="799"/>
      <c r="R13" s="845" t="str">
        <f>IF(R10="-","-",+R10*R11)</f>
        <v>-</v>
      </c>
      <c r="S13" s="846"/>
      <c r="T13" s="846" t="s">
        <v>150</v>
      </c>
      <c r="U13" s="847"/>
      <c r="V13" s="848">
        <f>IF(V10="-","-",+V10*V11)</f>
        <v>48.960000000000008</v>
      </c>
      <c r="W13" s="849"/>
      <c r="X13" s="798">
        <f>IF(X10="-","-",+X10*X11)</f>
        <v>61.44</v>
      </c>
      <c r="Y13" s="849"/>
      <c r="Z13" s="798">
        <f>IF(Z10="-","-",+Z10*Z11)</f>
        <v>69.12</v>
      </c>
      <c r="AA13" s="849"/>
      <c r="AB13" s="798">
        <f>IF(AB10="-","-",+AB10*AB11)</f>
        <v>31.359999999999996</v>
      </c>
      <c r="AC13" s="878"/>
      <c r="AD13" s="845" t="s">
        <v>150</v>
      </c>
      <c r="AE13" s="846"/>
      <c r="AF13" s="846" t="str">
        <f>IF(AF10="-","-",+AF10*AF11)</f>
        <v>-</v>
      </c>
      <c r="AG13" s="876"/>
      <c r="AH13" s="828">
        <f t="shared" si="0"/>
        <v>244.48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150</v>
      </c>
      <c r="K14" s="788"/>
      <c r="L14" s="789">
        <f>IF(L9="-",31*24,31*24-L9)</f>
        <v>632</v>
      </c>
      <c r="M14" s="789"/>
      <c r="N14" s="836">
        <f>IF(N9="-",31*24,31*24-N9)</f>
        <v>744</v>
      </c>
      <c r="O14" s="836"/>
      <c r="P14" s="789">
        <f>IF(P9="-",30*24,30*24-P9)</f>
        <v>616</v>
      </c>
      <c r="Q14" s="877"/>
      <c r="R14" s="838" t="s">
        <v>150</v>
      </c>
      <c r="S14" s="836"/>
      <c r="T14" s="836" t="s">
        <v>150</v>
      </c>
      <c r="U14" s="871"/>
      <c r="V14" s="838" t="s">
        <v>150</v>
      </c>
      <c r="W14" s="836"/>
      <c r="X14" s="836" t="s">
        <v>150</v>
      </c>
      <c r="Y14" s="836"/>
      <c r="Z14" s="836" t="s">
        <v>150</v>
      </c>
      <c r="AA14" s="836"/>
      <c r="AB14" s="836" t="s">
        <v>150</v>
      </c>
      <c r="AC14" s="837"/>
      <c r="AD14" s="838" t="s">
        <v>150</v>
      </c>
      <c r="AE14" s="836"/>
      <c r="AF14" s="836" t="s">
        <v>150</v>
      </c>
      <c r="AG14" s="837"/>
      <c r="AH14" s="775">
        <f t="shared" si="0"/>
        <v>1992</v>
      </c>
      <c r="AI14" s="755"/>
      <c r="AJ14" s="755">
        <f>SUM(AH14:AI15)</f>
        <v>7904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600</v>
      </c>
      <c r="K15" s="764"/>
      <c r="L15" s="765" t="s">
        <v>150</v>
      </c>
      <c r="M15" s="766"/>
      <c r="N15" s="765" t="s">
        <v>150</v>
      </c>
      <c r="O15" s="766"/>
      <c r="P15" s="765" t="s">
        <v>150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608</v>
      </c>
      <c r="W15" s="834"/>
      <c r="X15" s="834">
        <f>IF(X10="-",31*24,31*24-X10)</f>
        <v>616</v>
      </c>
      <c r="Y15" s="834"/>
      <c r="Z15" s="834">
        <f>IF(Z10="-",28*24,28*24-Z10)</f>
        <v>528</v>
      </c>
      <c r="AA15" s="834"/>
      <c r="AB15" s="834">
        <f>IF(AB10="-",31*24,31*24-AB10)</f>
        <v>632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5912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150</v>
      </c>
      <c r="K16" s="861"/>
      <c r="L16" s="862">
        <f>IF(L12="-",0,L12*SUMIF('様式11-5'!$G$92:$G$99,'様式11-6⑤'!$Y$1,'様式11-5'!$Q$92:$Q$99))+L14*SUMIF('様式11-5'!$G$92:$G$99,'様式11-6⑤'!$Y$1,'様式11-5'!$T$92:$T$99)</f>
        <v>58.082258823529422</v>
      </c>
      <c r="M16" s="863"/>
      <c r="N16" s="862">
        <f>IF(N12="-",0,N12*SUMIF('様式11-5'!$G$92:$G$99,'様式11-6⑤'!$Y$1,'様式11-5'!$Q$92:$Q$99))+N14*SUMIF('様式11-5'!$G$92:$G$99,'様式11-6⑤'!$Y$1,'様式11-5'!$T$92:$T$99)</f>
        <v>13.129411764705885</v>
      </c>
      <c r="O16" s="863"/>
      <c r="P16" s="862">
        <f>IF(P12="-",0,P12*SUMIF('様式11-5'!$G$92:$G$99,'様式11-6⑤'!$Y$1,'様式11-5'!$Q$92:$Q$99))+P14*SUMIF('様式11-5'!$G$92:$G$99,'様式11-6⑤'!$Y$1,'様式11-5'!$T$92:$T$99)</f>
        <v>41.997176470588244</v>
      </c>
      <c r="Q16" s="862"/>
      <c r="R16" s="864" t="s">
        <v>150</v>
      </c>
      <c r="S16" s="816"/>
      <c r="T16" s="816" t="s">
        <v>150</v>
      </c>
      <c r="U16" s="865"/>
      <c r="V16" s="864" t="s">
        <v>150</v>
      </c>
      <c r="W16" s="816"/>
      <c r="X16" s="816" t="s">
        <v>150</v>
      </c>
      <c r="Y16" s="816"/>
      <c r="Z16" s="816" t="s">
        <v>150</v>
      </c>
      <c r="AA16" s="816"/>
      <c r="AB16" s="816" t="s">
        <v>150</v>
      </c>
      <c r="AC16" s="817"/>
      <c r="AD16" s="818" t="s">
        <v>150</v>
      </c>
      <c r="AE16" s="816"/>
      <c r="AF16" s="816" t="s">
        <v>150</v>
      </c>
      <c r="AG16" s="817"/>
      <c r="AH16" s="819">
        <f t="shared" si="0"/>
        <v>113.20884705882355</v>
      </c>
      <c r="AI16" s="820"/>
      <c r="AJ16" s="820">
        <f>SUM(AH16:AI17)</f>
        <v>1229.5973647058825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IF(J13="-",0,J13*SUMIF('様式11-5'!$G$92:$G$99,'様式11-6⑤'!$Y$1,'様式11-5'!$Q$92:$Q$99))+J15*SUMIF('様式11-5'!$G$92:$G$99,'様式11-6⑤'!$Y$1,'様式11-5'!$T$92:$T$99)</f>
        <v>35.728941176470592</v>
      </c>
      <c r="K17" s="844"/>
      <c r="L17" s="797" t="s">
        <v>150</v>
      </c>
      <c r="M17" s="798"/>
      <c r="N17" s="797" t="s">
        <v>150</v>
      </c>
      <c r="O17" s="798"/>
      <c r="P17" s="797" t="s">
        <v>150</v>
      </c>
      <c r="Q17" s="799"/>
      <c r="R17" s="768">
        <f>IF(R13="-",0,R13*SUMIF('様式11-5'!$G$92:$G$99,'様式11-6⑤'!$Y$1,'様式11-5'!$Q$92:$Q$99))+R15*SUMIF('様式11-5'!$G$92:$G$99,'様式11-6⑤'!$Y$1,'様式11-5'!$T$92:$T$99)</f>
        <v>13.129411764705885</v>
      </c>
      <c r="S17" s="814"/>
      <c r="T17" s="769">
        <f>IF(T13="-",0,T13*SUMIF('様式11-5'!$G$92:$G$99,'様式11-6⑤'!$Y$1,'様式11-5'!$R$92:$R$99))+T15*SUMIF('様式11-5'!$G$92:$G$99,'様式11-6⑤'!$Y$1,'様式11-5'!$T$92:$T$99)</f>
        <v>12.705882352941179</v>
      </c>
      <c r="U17" s="815"/>
      <c r="V17" s="795">
        <f>IF(V13="-",0,V13*SUMIF('様式11-5'!$G$92:$G$99,'様式11-6⑤'!$Y$1,'様式11-5'!$R$92:$R$99))+V15*SUMIF('様式11-5'!$G$92:$G$99,'様式11-6⑤'!$Y$1,'様式11-5'!$T$92:$T$99)</f>
        <v>239.8622117647059</v>
      </c>
      <c r="W17" s="796"/>
      <c r="X17" s="824">
        <f>IF(X13="-",0,X13*SUMIF('様式11-5'!$G$92:$G$99,'様式11-6⑤'!$Y$1,'様式11-5'!$R$92:$R$99))+X15*SUMIF('様式11-5'!$G$92:$G$99,'様式11-6⑤'!$Y$1,'様式11-5'!$T$92:$T$99)</f>
        <v>298.40978823529412</v>
      </c>
      <c r="Y17" s="825"/>
      <c r="Z17" s="824">
        <f>IF(Z13="-",0,Z13*SUMIF('様式11-5'!$G$92:$G$99,'様式11-6⑤'!$Y$1,'様式11-5'!$R$92:$R$99))+Z15*SUMIF('様式11-5'!$G$92:$G$99,'様式11-6⑤'!$Y$1,'様式11-5'!$T$92:$T$99)</f>
        <v>332.79924705882354</v>
      </c>
      <c r="AA17" s="825"/>
      <c r="AB17" s="824">
        <f>IF(AB13="-",0,AB13*SUMIF('様式11-5'!$G$92:$G$99,'様式11-6⑤'!$Y$1,'様式11-5'!$R$92:$R$99))+AB15*SUMIF('様式11-5'!$G$92:$G$99,'様式11-6⑤'!$Y$1,'様式11-5'!$T$92:$T$99)</f>
        <v>157.91774117647057</v>
      </c>
      <c r="AC17" s="826"/>
      <c r="AD17" s="827">
        <f>IF(AD13="-",0,AD13*SUMIF('様式11-5'!$G$92:$G$99,'様式11-6⑤'!$Y$1,'様式11-5'!$R$92:$R$99))+AD15*SUMIF('様式11-5'!$G$92:$G$99,'様式11-6⑤'!$Y$1,'様式11-5'!$T$92:$T$99)</f>
        <v>12.705882352941179</v>
      </c>
      <c r="AE17" s="769"/>
      <c r="AF17" s="827">
        <f>IF(AF13="-",0,AF13*SUMIF('様式11-5'!$G$92:$G$99,'様式11-6⑤'!$Y$1,'様式11-5'!$Q$92:$Q$99))+AF15*SUMIF('様式11-5'!$G$92:$G$99,'様式11-6⑤'!$Y$1,'様式11-5'!$T$92:$T$99)</f>
        <v>13.129411764705885</v>
      </c>
      <c r="AG17" s="769"/>
      <c r="AH17" s="828">
        <f>SUM(J17:AG17)</f>
        <v>1116.388517647059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150</v>
      </c>
      <c r="K18" s="788"/>
      <c r="L18" s="772">
        <f>IF(L9="-",0,L9*SUMIF('様式11-5'!$G$100:$G$107,'様式11-6⑤'!$Y$1,'様式11-5'!$R$100:$R$107))+L14*SUMIF('様式11-5'!$G$100:$G$107,'様式11-6⑤'!$Y$1,'様式11-5'!$T$100:$T$107)</f>
        <v>3.9200000000000004</v>
      </c>
      <c r="M18" s="772"/>
      <c r="N18" s="772">
        <f>IF(N9="-",0,N9*SUMIF('様式11-5'!$G$100:$G$107,'様式11-6⑤'!$Y$1,'様式11-5'!$R$100:$R$107))+N14*SUMIF('様式11-5'!$G$100:$G$107,'様式11-6⑤'!$Y$1,'様式11-5'!$T$100:$T$107)</f>
        <v>0</v>
      </c>
      <c r="O18" s="772"/>
      <c r="P18" s="789">
        <f>IF(P9="-",0,P9*SUMIF('様式11-5'!$G$100:$G$107,'様式11-6⑤'!$Y$1,'様式11-5'!$R$100:$R$107))+P14*SUMIF('様式11-5'!$G$100:$G$107,'様式11-6⑤'!$Y$1,'様式11-5'!$T$100:$T$107)</f>
        <v>3.6400000000000006</v>
      </c>
      <c r="Q18" s="789"/>
      <c r="R18" s="791" t="s">
        <v>150</v>
      </c>
      <c r="S18" s="772"/>
      <c r="T18" s="772" t="s">
        <v>150</v>
      </c>
      <c r="U18" s="792"/>
      <c r="V18" s="791" t="s">
        <v>150</v>
      </c>
      <c r="W18" s="772"/>
      <c r="X18" s="772" t="s">
        <v>150</v>
      </c>
      <c r="Y18" s="772"/>
      <c r="Z18" s="772" t="s">
        <v>150</v>
      </c>
      <c r="AA18" s="772"/>
      <c r="AB18" s="772" t="s">
        <v>150</v>
      </c>
      <c r="AC18" s="773"/>
      <c r="AD18" s="774" t="s">
        <v>150</v>
      </c>
      <c r="AE18" s="772"/>
      <c r="AF18" s="772" t="s">
        <v>150</v>
      </c>
      <c r="AG18" s="773"/>
      <c r="AH18" s="775">
        <f t="shared" si="0"/>
        <v>7.5600000000000005</v>
      </c>
      <c r="AI18" s="755"/>
      <c r="AJ18" s="755">
        <f>SUM(AH18:AI19)</f>
        <v>29.960000000000008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IF(J10="-",0,J10*SUMIF('様式11-5'!$G$100:$G$107,'様式11-6⑤'!$Y$1,'様式11-5'!$R$100:$R$107))+J15*SUMIF('様式11-5'!$G$100:$G$107,'様式11-6⑤'!$Y$1,'様式11-5'!$T$100:$T$107)</f>
        <v>4.2</v>
      </c>
      <c r="K19" s="796"/>
      <c r="L19" s="797" t="s">
        <v>150</v>
      </c>
      <c r="M19" s="798"/>
      <c r="N19" s="797" t="s">
        <v>150</v>
      </c>
      <c r="O19" s="798"/>
      <c r="P19" s="797" t="s">
        <v>150</v>
      </c>
      <c r="Q19" s="799"/>
      <c r="R19" s="768">
        <f>IF(R10="-",0,R10*SUMIF('様式11-5'!$G$100:$G$107,'様式11-6⑤'!$Y$1,'様式11-5'!$R$100:$R$107))+R15*SUMIF('様式11-5'!$G$100:$G$107,'様式11-6⑤'!$Y$1,'様式11-5'!$T$100:$T$107)</f>
        <v>0</v>
      </c>
      <c r="S19" s="769"/>
      <c r="T19" s="814">
        <f>IF(T10="-",0,T10*SUMIF('様式11-5'!$G$100:$G$107,'様式11-6⑤'!$Y$1,'様式11-5'!$R$100:$R$107))+T15*SUMIF('様式11-5'!$G$100:$G$107,'様式11-6⑤'!$Y$1,'様式11-5'!$T$100:$T$107)</f>
        <v>0</v>
      </c>
      <c r="U19" s="831"/>
      <c r="V19" s="832">
        <f>IF(V10="-",0,V10*SUMIF('様式11-5'!$G$100:$G$107,'様式11-6⑤'!$Y$1,'様式11-5'!$R$100:$R$107))+V15*SUMIF('様式11-5'!$G$100:$G$107,'様式11-6⑤'!$Y$1,'様式11-5'!$T$100:$T$107)</f>
        <v>4.7600000000000007</v>
      </c>
      <c r="W19" s="825"/>
      <c r="X19" s="824">
        <f>IF(X10="-",0,X10*SUMIF('様式11-5'!$G$100:$G$107,'様式11-6⑤'!$Y$1,'様式11-5'!$R$100:$R$107))+X15*SUMIF('様式11-5'!$G$100:$G$107,'様式11-6⑤'!$Y$1,'様式11-5'!$T$100:$T$107)</f>
        <v>4.4800000000000004</v>
      </c>
      <c r="Y19" s="825"/>
      <c r="Z19" s="824">
        <f>IF(Z10="-",0,Z10*SUMIF('様式11-5'!$G$100:$G$107,'様式11-6⑤'!$Y$1,'様式11-5'!$R$100:$R$107))+Z15*SUMIF('様式11-5'!$G$100:$G$107,'様式11-6⑤'!$Y$1,'様式11-5'!$T$100:$T$107)</f>
        <v>5.0400000000000009</v>
      </c>
      <c r="AA19" s="825"/>
      <c r="AB19" s="824">
        <f>IF(AB10="-",0,AB10*SUMIF('様式11-5'!$G$100:$G$107,'様式11-6⑤'!$Y$1,'様式11-5'!$R$100:$R$107))+AB15*SUMIF('様式11-5'!$G$100:$G$107,'様式11-6⑤'!$Y$1,'様式11-5'!$T$100:$T$107)</f>
        <v>3.9200000000000004</v>
      </c>
      <c r="AC19" s="826"/>
      <c r="AD19" s="827">
        <f>IF(AD10="-",0,AD10*SUMIF('様式11-5'!$G$100:$G$107,'様式11-6⑤'!$Y$1,'様式11-5'!$R$100:$R$107))+AD15*SUMIF('様式11-5'!$G$100:$G$107,'様式11-6⑤'!$Y$1,'様式11-5'!$T$100:$T$107)</f>
        <v>0</v>
      </c>
      <c r="AE19" s="769"/>
      <c r="AF19" s="827">
        <f>IF(AF10="-",0,AF10*SUMIF('様式11-5'!$G$100:$G$107,'様式11-6⑤'!$Y$1,'様式11-5'!$R$100:$R$107))+AF15*SUMIF('様式11-5'!$G$100:$G$107,'様式11-6⑤'!$Y$1,'様式11-5'!$T$100:$T$107)</f>
        <v>0</v>
      </c>
      <c r="AG19" s="769"/>
      <c r="AH19" s="828">
        <f t="shared" si="0"/>
        <v>22.400000000000006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150</v>
      </c>
      <c r="K20" s="788"/>
      <c r="L20" s="789">
        <f>IF(L9="-",0,L9*SUMIF('様式11-5'!$G$108:$G$115,'様式11-6⑤'!$Y$1,'様式11-5'!$Q$108:$Q$115))+L14*SUMIF('様式11-5'!$G$108:$G$115,'様式11-6⑤'!$Y$1,'様式11-5'!$T$108:$T$115)</f>
        <v>0</v>
      </c>
      <c r="M20" s="790"/>
      <c r="N20" s="789">
        <f>IF(N9="-",0,N9*SUMIF('様式11-5'!$G$108:$G$115,'様式11-6⑤'!$Y$1,'様式11-5'!$Q$108:$Q$115))+N14*SUMIF('様式11-5'!$G$108:$G$115,'様式11-6⑤'!$Y$1,'様式11-5'!$T$108:$T$115)</f>
        <v>0</v>
      </c>
      <c r="O20" s="790"/>
      <c r="P20" s="789">
        <f>IF(P9="-",0,P9*SUMIF('様式11-5'!$G$108:$G$115,'様式11-6⑤'!$Y$1,'様式11-5'!$Q$108:$Q$115))+P14*SUMIF('様式11-5'!$G$108:$G$115,'様式11-6⑤'!$Y$1,'様式11-5'!$T$108:$T$115)</f>
        <v>0</v>
      </c>
      <c r="Q20" s="789"/>
      <c r="R20" s="791" t="s">
        <v>150</v>
      </c>
      <c r="S20" s="772"/>
      <c r="T20" s="772" t="s">
        <v>150</v>
      </c>
      <c r="U20" s="792"/>
      <c r="V20" s="791" t="s">
        <v>150</v>
      </c>
      <c r="W20" s="772"/>
      <c r="X20" s="772" t="s">
        <v>150</v>
      </c>
      <c r="Y20" s="772"/>
      <c r="Z20" s="772" t="s">
        <v>150</v>
      </c>
      <c r="AA20" s="772"/>
      <c r="AB20" s="772" t="s">
        <v>150</v>
      </c>
      <c r="AC20" s="773"/>
      <c r="AD20" s="774" t="s">
        <v>150</v>
      </c>
      <c r="AE20" s="772"/>
      <c r="AF20" s="772" t="s">
        <v>150</v>
      </c>
      <c r="AG20" s="773"/>
      <c r="AH20" s="775">
        <f t="shared" si="0"/>
        <v>0</v>
      </c>
      <c r="AI20" s="755"/>
      <c r="AJ20" s="755">
        <f>SUM(AH20:AI21)</f>
        <v>0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IF(J10="-",0,J10*SUMIF('様式11-5'!$G$108:$G$115,'様式11-6⑤'!$Y$1,'様式11-5'!$Q$108:$Q$115))+J15*SUMIF('様式11-5'!$G$108:$G$115,'様式11-6⑤'!$Y$1,'様式11-5'!$T$108:$T$115)</f>
        <v>0</v>
      </c>
      <c r="K21" s="764"/>
      <c r="L21" s="765" t="s">
        <v>150</v>
      </c>
      <c r="M21" s="766"/>
      <c r="N21" s="765" t="s">
        <v>150</v>
      </c>
      <c r="O21" s="766"/>
      <c r="P21" s="765" t="s">
        <v>150</v>
      </c>
      <c r="Q21" s="767"/>
      <c r="R21" s="768">
        <f>IF(R10="-",0,R10*SUMIF('様式11-5'!$G$108:$G$115,'様式11-6⑤'!$Y$1,'様式11-5'!$Q$108:$Q$115))+R15*SUMIF('様式11-5'!$G$108:$G$115,'様式11-6⑤'!$Y$1,'様式11-5'!$T$108:$T$115)</f>
        <v>0</v>
      </c>
      <c r="S21" s="769"/>
      <c r="T21" s="720">
        <f>IF(T10="-",0,T10*SUMIF('様式11-5'!$G$108:$G$115,'様式11-6⑤'!$Y$1,'様式11-5'!$R$108:$R$115))+T15*SUMIF('様式11-5'!$G$108:$G$115,'様式11-6⑤'!$Y$1,'様式11-5'!$T$108:$T$115)</f>
        <v>0</v>
      </c>
      <c r="U21" s="722"/>
      <c r="V21" s="770">
        <f>IF(V10="-",0,V10*SUMIF('様式11-5'!$G$108:$G$115,'様式11-6⑤'!$Y$1,'様式11-5'!$R$108:$R$115))+V15*SUMIF('様式11-5'!$G$108:$G$115,'様式11-6⑤'!$Y$1,'様式11-5'!$T$108:$T$115)</f>
        <v>0</v>
      </c>
      <c r="W21" s="771"/>
      <c r="X21" s="748">
        <f>IF(X10="-",0,X10*SUMIF('様式11-5'!$G$108:$G$115,'様式11-6⑤'!$Y$1,'様式11-5'!$R$108:$R$115))+X15*SUMIF('様式11-5'!$G$108:$G$115,'様式11-6⑤'!$Y$1,'様式11-5'!$T$108:$T$115)</f>
        <v>0</v>
      </c>
      <c r="Y21" s="749"/>
      <c r="Z21" s="748">
        <f>IF(Z10="-",0,Z10*SUMIF('様式11-5'!$G$108:$G$115,'様式11-6⑤'!$Y$1,'様式11-5'!$R$108:$R$115))+Z15*SUMIF('様式11-5'!$G$108:$G$115,'様式11-6⑤'!$Y$1,'様式11-5'!$T$108:$T$115)</f>
        <v>0</v>
      </c>
      <c r="AA21" s="749"/>
      <c r="AB21" s="748">
        <f>IF(AB10="-",0,AB10*SUMIF('様式11-5'!$G$108:$G$115,'様式11-6⑤'!$Y$1,'様式11-5'!$R$108:$R$115))+AB15*SUMIF('様式11-5'!$G$108:$G$115,'様式11-6⑤'!$Y$1,'様式11-5'!$T$108:$T$115)</f>
        <v>0</v>
      </c>
      <c r="AC21" s="750"/>
      <c r="AD21" s="751">
        <f>IF(AD10="-",0,AD10*SUMIF('様式11-5'!$G$108:$G$115,'様式11-6⑤'!$Y$1,'様式11-5'!$R$108:$R$115))+AD15*SUMIF('様式11-5'!$G$108:$G$115,'様式11-6⑤'!$Y$1,'様式11-5'!$T$108:$T$115)</f>
        <v>0</v>
      </c>
      <c r="AE21" s="752"/>
      <c r="AF21" s="751">
        <f>IF(AF10="-",0,AF10*SUMIF('様式11-5'!$G$108:$G$115,'様式11-6⑤'!$Y$1,'様式11-5'!$Q$108:$Q$115))+AF15*SUMIF('様式11-5'!$G$108:$G$115,'様式11-6⑤'!$Y$1,'様式11-5'!$T$108:$T$115)</f>
        <v>0</v>
      </c>
      <c r="AG21" s="752"/>
      <c r="AH21" s="753">
        <f t="shared" si="0"/>
        <v>0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IF(J13="-",0,J13*SUMIF('様式11-5'!$G$92:$G$99,'様式11-6⑤'!$Y$1,'様式11-5'!$X$92:$X$99))</f>
        <v>3.9529411764705875</v>
      </c>
      <c r="K22" s="807"/>
      <c r="L22" s="808">
        <f>IF(L12="-",0,L12*SUMIF('様式11-5'!$G$92:$G$99,'様式11-6⑤'!$Y$1,'様式11-5'!$X$92:$X$99))</f>
        <v>7.3788235294117639</v>
      </c>
      <c r="M22" s="809"/>
      <c r="N22" s="810">
        <f>IF(N12="-",0,N12*SUMIF('様式11-5'!$G$92:$G$99,'様式11-6⑤'!$Y$1,'様式11-5'!$X$92:$X$99))</f>
        <v>0</v>
      </c>
      <c r="O22" s="810"/>
      <c r="P22" s="808">
        <f>IF(P12="-",0,P12*SUMIF('様式11-5'!$G$92:$G$99,'様式11-6⑤'!$Y$1,'様式11-5'!$X$92:$X$99))</f>
        <v>4.8941176470588239</v>
      </c>
      <c r="Q22" s="811"/>
      <c r="R22" s="812">
        <f>IF(R13="-",0,R13*SUMIF('様式11-5'!$G$92:$G$99,'様式11-6⑤'!$Y$1,'様式11-5'!$X$92:$X$99))</f>
        <v>0</v>
      </c>
      <c r="S22" s="743"/>
      <c r="T22" s="743">
        <f>IF(T13="-",0,T13*SUMIF('様式11-5'!$G$92:$G$99,'様式11-6⑤'!$Y$1,'様式11-5'!$X$92:$X$99))</f>
        <v>0</v>
      </c>
      <c r="U22" s="813"/>
      <c r="V22" s="812" t="s">
        <v>150</v>
      </c>
      <c r="W22" s="743"/>
      <c r="X22" s="743" t="s">
        <v>150</v>
      </c>
      <c r="Y22" s="743"/>
      <c r="Z22" s="743" t="s">
        <v>150</v>
      </c>
      <c r="AA22" s="743"/>
      <c r="AB22" s="743" t="s">
        <v>150</v>
      </c>
      <c r="AC22" s="744"/>
      <c r="AD22" s="745">
        <f>IF(AD13="-",0,AD13*SUMIF('様式11-5'!$G$92:$G$99,'様式11-6⑤'!$Y$1,'様式11-5'!$Y$92:$Y$99))</f>
        <v>0</v>
      </c>
      <c r="AE22" s="743"/>
      <c r="AF22" s="743">
        <f>IF(AF13="-",0,AF13*SUMIF('様式11-5'!$G$92:$G$99,'様式11-6⑤'!$Y$1,'様式11-5'!$X$92:$X$99))</f>
        <v>0</v>
      </c>
      <c r="AG22" s="744"/>
      <c r="AH22" s="746">
        <f>SUM(J22:AG22)</f>
        <v>16.225882352941177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150</v>
      </c>
      <c r="K23" s="737"/>
      <c r="L23" s="737" t="s">
        <v>150</v>
      </c>
      <c r="M23" s="737"/>
      <c r="N23" s="737" t="s">
        <v>150</v>
      </c>
      <c r="O23" s="737"/>
      <c r="P23" s="737" t="s">
        <v>150</v>
      </c>
      <c r="Q23" s="738"/>
      <c r="R23" s="739" t="s">
        <v>150</v>
      </c>
      <c r="S23" s="724"/>
      <c r="T23" s="724" t="s">
        <v>150</v>
      </c>
      <c r="U23" s="740"/>
      <c r="V23" s="741">
        <f>IF(V13="-",0,V13*SUMIF('様式11-5'!$G$92:$G$99,'様式11-6⑤'!$Y$1,'様式11-5'!$Y$92:$Y$99))</f>
        <v>0</v>
      </c>
      <c r="W23" s="742"/>
      <c r="X23" s="720">
        <f>IF(X13="-",0,X13*SUMIF('様式11-5'!$G$92:$G$99,'様式11-6⑤'!$Y$1,'様式11-5'!$Y$92:$Y$99))</f>
        <v>0</v>
      </c>
      <c r="Y23" s="721"/>
      <c r="Z23" s="720">
        <f>IF(Z13="-",0,Z13*SUMIF('様式11-5'!$G$92:$G$99,'様式11-6⑤'!$Y$1,'様式11-5'!$Y$92:$Y$99))</f>
        <v>0</v>
      </c>
      <c r="AA23" s="721"/>
      <c r="AB23" s="720">
        <f>IF(AB13="-",0,AB13*SUMIF('様式11-5'!$G$92:$G$99,'様式11-6⑤'!$Y$1,'様式11-5'!$Y$92:$Y$99))</f>
        <v>0</v>
      </c>
      <c r="AC23" s="722"/>
      <c r="AD23" s="723" t="s">
        <v>150</v>
      </c>
      <c r="AE23" s="724"/>
      <c r="AF23" s="724" t="s">
        <v>150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1285.8699999999999</v>
      </c>
      <c r="S27" s="548"/>
      <c r="T27" s="28" t="s">
        <v>71</v>
      </c>
      <c r="U27" s="28"/>
      <c r="V27" s="28"/>
      <c r="W27" s="549">
        <f>SUMIF('様式11-5'!$G$92:$G$99,'様式11-6⑤'!$Y$1,'様式11-5'!$Q$92:$Q$99)+SUMIF('様式11-5'!$G$100:$G$107,'様式11-6⑤'!$Y$1,'様式11-5'!$R$100:$R$107)+SUMIF('様式11-5'!$G$108:$G$115,'様式11-6⑤'!$Y$1,'様式11-5'!$Q$108:$Q$115)</f>
        <v>0.78323529411764725</v>
      </c>
      <c r="X27" s="549"/>
      <c r="Y27" s="28" t="s">
        <v>70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856.06795250000016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72</v>
      </c>
      <c r="AQ27" s="662"/>
      <c r="AR27" s="663">
        <f>AN27*AB30/1000</f>
        <v>1.7928094588235296E-2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62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39.928941176470595</v>
      </c>
      <c r="AC28" s="702"/>
      <c r="AD28" s="24" t="s">
        <v>63</v>
      </c>
      <c r="AE28" s="24"/>
      <c r="AF28" s="24"/>
      <c r="AG28" s="152"/>
      <c r="AH28" s="648">
        <f>(S28+U28+W28)*AB28</f>
        <v>933.13935529411788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273"/>
      <c r="J29" s="269"/>
      <c r="K29" s="269"/>
      <c r="L29" s="271"/>
      <c r="M29" s="271"/>
      <c r="N29" s="271"/>
      <c r="O29" s="271"/>
      <c r="P29" s="271"/>
      <c r="Q29" s="272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70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54"/>
      <c r="S30" s="254"/>
      <c r="T30" s="25"/>
      <c r="U30" s="25"/>
      <c r="V30" s="25"/>
      <c r="W30" s="165"/>
      <c r="X30" s="260"/>
      <c r="Y30" s="260"/>
      <c r="Z30" s="167"/>
      <c r="AA30" s="168"/>
      <c r="AB30" s="711">
        <f>SUM(AB28:AC28)</f>
        <v>39.928941176470595</v>
      </c>
      <c r="AC30" s="711"/>
      <c r="AD30" s="169" t="s">
        <v>57</v>
      </c>
      <c r="AE30" s="25"/>
      <c r="AF30" s="25"/>
      <c r="AG30" s="25"/>
      <c r="AH30" s="712">
        <f>SUM(AH27:AK28)</f>
        <v>1789.2073077941182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111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251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45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111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110</v>
      </c>
      <c r="W32" s="173">
        <f>料金単価!$F$7</f>
        <v>14.55</v>
      </c>
      <c r="X32" s="258" t="s">
        <v>112</v>
      </c>
      <c r="Y32" s="259" t="s">
        <v>113</v>
      </c>
      <c r="Z32" s="719">
        <f>IF('様式11-5'!U$1="LPG",0,J$22)</f>
        <v>0</v>
      </c>
      <c r="AA32" s="719"/>
      <c r="AB32" s="23" t="s">
        <v>46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54"/>
      <c r="S33" s="254"/>
      <c r="T33" s="25"/>
      <c r="U33" s="25"/>
      <c r="V33" s="25"/>
      <c r="W33" s="165"/>
      <c r="X33" s="260"/>
      <c r="Y33" s="260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52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251" t="s">
        <v>51</v>
      </c>
      <c r="AD34" s="28"/>
      <c r="AE34" s="28"/>
      <c r="AF34" s="28"/>
      <c r="AG34" s="28"/>
      <c r="AH34" s="640">
        <f>IF(AH22+AH23=0,0,R34*AB34)</f>
        <v>1320</v>
      </c>
      <c r="AI34" s="641"/>
      <c r="AJ34" s="641"/>
      <c r="AK34" s="642"/>
      <c r="AL34" s="617" t="s">
        <v>52</v>
      </c>
      <c r="AM34" s="618"/>
      <c r="AN34" s="594">
        <v>6</v>
      </c>
      <c r="AO34" s="595"/>
      <c r="AP34" s="613" t="s">
        <v>45</v>
      </c>
      <c r="AQ34" s="614"/>
      <c r="AR34" s="625">
        <f>AN34*X36/1000</f>
        <v>2.3717647058823524E-2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3.9529411764705875</v>
      </c>
      <c r="Y35" s="644"/>
      <c r="Z35" s="23" t="s">
        <v>46</v>
      </c>
      <c r="AA35" s="23"/>
      <c r="AB35" s="23"/>
      <c r="AC35" s="24"/>
      <c r="AD35" s="23"/>
      <c r="AE35" s="23"/>
      <c r="AF35" s="23"/>
      <c r="AG35" s="23"/>
      <c r="AH35" s="558">
        <f>R35*X35</f>
        <v>1739.2941176470586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54"/>
      <c r="S36" s="254"/>
      <c r="T36" s="25"/>
      <c r="U36" s="25"/>
      <c r="V36" s="25"/>
      <c r="W36" s="165"/>
      <c r="X36" s="716">
        <f>SUM(X35:Y35)</f>
        <v>3.9529411764705875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3059.2941176470586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1285.8699999999999</v>
      </c>
      <c r="S38" s="548"/>
      <c r="T38" s="28" t="s">
        <v>71</v>
      </c>
      <c r="U38" s="28"/>
      <c r="V38" s="28"/>
      <c r="W38" s="549">
        <f>$W$27</f>
        <v>0.78323529411764725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856.06795250000016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72</v>
      </c>
      <c r="AQ38" s="662"/>
      <c r="AR38" s="663">
        <f>AN38*AB41/1000</f>
        <v>2.7839014211764712E-2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62</v>
      </c>
      <c r="U39" s="149">
        <f>$U$28</f>
        <v>7.29</v>
      </c>
      <c r="V39" s="148" t="s">
        <v>62</v>
      </c>
      <c r="W39" s="150">
        <f>$W$28</f>
        <v>3.45</v>
      </c>
      <c r="X39" s="151" t="s">
        <v>64</v>
      </c>
      <c r="Y39" s="24" t="s">
        <v>61</v>
      </c>
      <c r="Z39" s="151"/>
      <c r="AA39" s="32"/>
      <c r="AB39" s="702">
        <f>L$16+L$18+L$20</f>
        <v>62.002258823529424</v>
      </c>
      <c r="AC39" s="702"/>
      <c r="AD39" s="24" t="s">
        <v>63</v>
      </c>
      <c r="AE39" s="24"/>
      <c r="AF39" s="24"/>
      <c r="AG39" s="152"/>
      <c r="AH39" s="648">
        <f>(S39+U39+W39)*AB39</f>
        <v>1502.314731294118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255"/>
      <c r="J40" s="252"/>
      <c r="K40" s="252"/>
      <c r="L40" s="259"/>
      <c r="M40" s="259"/>
      <c r="N40" s="259"/>
      <c r="O40" s="259"/>
      <c r="P40" s="259"/>
      <c r="Q40" s="2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253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54"/>
      <c r="S41" s="254"/>
      <c r="T41" s="25"/>
      <c r="U41" s="25"/>
      <c r="V41" s="25"/>
      <c r="W41" s="165"/>
      <c r="X41" s="260"/>
      <c r="Y41" s="260"/>
      <c r="Z41" s="167"/>
      <c r="AA41" s="168"/>
      <c r="AB41" s="711">
        <f>SUM(AB39:AC39)</f>
        <v>62.002258823529424</v>
      </c>
      <c r="AC41" s="711"/>
      <c r="AD41" s="169" t="s">
        <v>57</v>
      </c>
      <c r="AE41" s="25"/>
      <c r="AF41" s="25"/>
      <c r="AG41" s="25"/>
      <c r="AH41" s="712">
        <f>SUM(AH38:AK39)</f>
        <v>2358.3826837941183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111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251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45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132.49</v>
      </c>
      <c r="T43" s="556"/>
      <c r="U43" s="23" t="s">
        <v>48</v>
      </c>
      <c r="V43" s="172" t="s">
        <v>110</v>
      </c>
      <c r="W43" s="173">
        <f>W32</f>
        <v>14.55</v>
      </c>
      <c r="X43" s="258" t="s">
        <v>112</v>
      </c>
      <c r="Y43" s="259" t="s">
        <v>113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54"/>
      <c r="S44" s="254"/>
      <c r="T44" s="25"/>
      <c r="U44" s="25"/>
      <c r="V44" s="25"/>
      <c r="W44" s="165"/>
      <c r="X44" s="260"/>
      <c r="Y44" s="260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52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251" t="s">
        <v>51</v>
      </c>
      <c r="AD45" s="28"/>
      <c r="AE45" s="28"/>
      <c r="AF45" s="28"/>
      <c r="AG45" s="28"/>
      <c r="AH45" s="640">
        <f>IF(AH33+AH34=0,0,R45*AB45)</f>
        <v>1320</v>
      </c>
      <c r="AI45" s="641"/>
      <c r="AJ45" s="641"/>
      <c r="AK45" s="642"/>
      <c r="AL45" s="617" t="s">
        <v>52</v>
      </c>
      <c r="AM45" s="618"/>
      <c r="AN45" s="594">
        <f>AN34</f>
        <v>6</v>
      </c>
      <c r="AO45" s="595"/>
      <c r="AP45" s="613" t="s">
        <v>45</v>
      </c>
      <c r="AQ45" s="614"/>
      <c r="AR45" s="625">
        <f>AN45*X47/1000</f>
        <v>4.4272941176470584E-2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7.3788235294117639</v>
      </c>
      <c r="Y46" s="644"/>
      <c r="Z46" s="23" t="s">
        <v>46</v>
      </c>
      <c r="AA46" s="23"/>
      <c r="AB46" s="23"/>
      <c r="AC46" s="24"/>
      <c r="AD46" s="23"/>
      <c r="AE46" s="23"/>
      <c r="AF46" s="23"/>
      <c r="AG46" s="23"/>
      <c r="AH46" s="558">
        <f>R46*X46</f>
        <v>3246.6823529411763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54"/>
      <c r="S47" s="254"/>
      <c r="T47" s="25"/>
      <c r="U47" s="25"/>
      <c r="V47" s="25"/>
      <c r="W47" s="165"/>
      <c r="X47" s="716">
        <f>SUM(X46:Y46)</f>
        <v>7.3788235294117639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4566.6823529411758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1285.8699999999999</v>
      </c>
      <c r="S49" s="548"/>
      <c r="T49" s="28" t="s">
        <v>71</v>
      </c>
      <c r="U49" s="28"/>
      <c r="V49" s="28"/>
      <c r="W49" s="549">
        <f>$W$27</f>
        <v>0.78323529411764725</v>
      </c>
      <c r="X49" s="549"/>
      <c r="Y49" s="28" t="s">
        <v>70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856.06795250000016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72</v>
      </c>
      <c r="AQ49" s="662"/>
      <c r="AR49" s="663">
        <f>AN49*AB52/1000</f>
        <v>5.8951058823529428E-3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62</v>
      </c>
      <c r="U50" s="149">
        <f>$U$28</f>
        <v>7.29</v>
      </c>
      <c r="V50" s="148" t="s">
        <v>62</v>
      </c>
      <c r="W50" s="150">
        <f>$W$28</f>
        <v>3.45</v>
      </c>
      <c r="X50" s="151" t="s">
        <v>64</v>
      </c>
      <c r="Y50" s="24" t="s">
        <v>61</v>
      </c>
      <c r="Z50" s="151"/>
      <c r="AA50" s="32"/>
      <c r="AB50" s="702">
        <f>N$16+N$18+N$20</f>
        <v>13.129411764705885</v>
      </c>
      <c r="AC50" s="702"/>
      <c r="AD50" s="24" t="s">
        <v>63</v>
      </c>
      <c r="AE50" s="24"/>
      <c r="AF50" s="24"/>
      <c r="AG50" s="152"/>
      <c r="AH50" s="648">
        <f>(S50+U50+W50)*AB50</f>
        <v>318.12564705882363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255"/>
      <c r="J51" s="252"/>
      <c r="K51" s="252"/>
      <c r="L51" s="259"/>
      <c r="M51" s="259"/>
      <c r="N51" s="259"/>
      <c r="O51" s="259"/>
      <c r="P51" s="259"/>
      <c r="Q51" s="2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253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54"/>
      <c r="S52" s="254"/>
      <c r="T52" s="25"/>
      <c r="U52" s="25"/>
      <c r="V52" s="25"/>
      <c r="W52" s="165"/>
      <c r="X52" s="260"/>
      <c r="Y52" s="260"/>
      <c r="Z52" s="167"/>
      <c r="AA52" s="168"/>
      <c r="AB52" s="711">
        <f>SUM(AB50:AC50)</f>
        <v>13.129411764705885</v>
      </c>
      <c r="AC52" s="711"/>
      <c r="AD52" s="169" t="s">
        <v>57</v>
      </c>
      <c r="AE52" s="25"/>
      <c r="AF52" s="25"/>
      <c r="AG52" s="25"/>
      <c r="AH52" s="712">
        <f>SUM(AH49:AK50)</f>
        <v>1174.1935995588237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111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251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45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111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132.49</v>
      </c>
      <c r="T54" s="556"/>
      <c r="U54" s="23" t="s">
        <v>48</v>
      </c>
      <c r="V54" s="172" t="s">
        <v>110</v>
      </c>
      <c r="W54" s="173">
        <f>W43</f>
        <v>14.55</v>
      </c>
      <c r="X54" s="258" t="s">
        <v>112</v>
      </c>
      <c r="Y54" s="259" t="s">
        <v>113</v>
      </c>
      <c r="Z54" s="665">
        <f>IF('様式11-5'!U$1="LPG",0,N$22)</f>
        <v>0</v>
      </c>
      <c r="AA54" s="665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54"/>
      <c r="S55" s="254"/>
      <c r="T55" s="25"/>
      <c r="U55" s="25"/>
      <c r="V55" s="25"/>
      <c r="W55" s="165"/>
      <c r="X55" s="260"/>
      <c r="Y55" s="260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52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251" t="s">
        <v>51</v>
      </c>
      <c r="AD56" s="28"/>
      <c r="AE56" s="28"/>
      <c r="AF56" s="28"/>
      <c r="AG56" s="28"/>
      <c r="AH56" s="640">
        <f>IF(AH44+AH45=0,0,R56*AB56)</f>
        <v>1320</v>
      </c>
      <c r="AI56" s="641"/>
      <c r="AJ56" s="641"/>
      <c r="AK56" s="642"/>
      <c r="AL56" s="617" t="s">
        <v>52</v>
      </c>
      <c r="AM56" s="618"/>
      <c r="AN56" s="594">
        <f>AN45</f>
        <v>6</v>
      </c>
      <c r="AO56" s="595"/>
      <c r="AP56" s="613" t="s">
        <v>45</v>
      </c>
      <c r="AQ56" s="614"/>
      <c r="AR56" s="625">
        <f>AN56*X58/1000</f>
        <v>0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0</v>
      </c>
      <c r="Y57" s="644"/>
      <c r="Z57" s="23" t="s">
        <v>46</v>
      </c>
      <c r="AA57" s="23"/>
      <c r="AB57" s="23"/>
      <c r="AC57" s="24"/>
      <c r="AD57" s="23"/>
      <c r="AE57" s="23"/>
      <c r="AF57" s="23"/>
      <c r="AG57" s="23"/>
      <c r="AH57" s="558">
        <f>R57*X57</f>
        <v>0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54"/>
      <c r="S58" s="254"/>
      <c r="T58" s="25"/>
      <c r="U58" s="25"/>
      <c r="V58" s="25"/>
      <c r="W58" s="165"/>
      <c r="X58" s="716">
        <f>SUM(X57:Y57)</f>
        <v>0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1320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1285.8699999999999</v>
      </c>
      <c r="S60" s="548"/>
      <c r="T60" s="28" t="s">
        <v>71</v>
      </c>
      <c r="U60" s="28"/>
      <c r="V60" s="28"/>
      <c r="W60" s="549">
        <f>$W$27</f>
        <v>0.78323529411764725</v>
      </c>
      <c r="X60" s="549"/>
      <c r="Y60" s="28" t="s">
        <v>70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856.06795250000016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72</v>
      </c>
      <c r="AQ60" s="662"/>
      <c r="AR60" s="663">
        <f>AN60*AB63/1000</f>
        <v>2.0491092235294123E-2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62</v>
      </c>
      <c r="U61" s="149">
        <f>$U$28</f>
        <v>7.29</v>
      </c>
      <c r="V61" s="148" t="s">
        <v>62</v>
      </c>
      <c r="W61" s="150">
        <f>$W$28</f>
        <v>3.45</v>
      </c>
      <c r="X61" s="151" t="s">
        <v>64</v>
      </c>
      <c r="Y61" s="24" t="s">
        <v>61</v>
      </c>
      <c r="Z61" s="151"/>
      <c r="AA61" s="32"/>
      <c r="AB61" s="702">
        <f>P$16+P$18+P$20</f>
        <v>45.637176470588244</v>
      </c>
      <c r="AC61" s="702"/>
      <c r="AD61" s="24" t="s">
        <v>63</v>
      </c>
      <c r="AE61" s="24"/>
      <c r="AF61" s="24"/>
      <c r="AG61" s="152"/>
      <c r="AH61" s="648">
        <f>(S61+U61+W61)*AB61</f>
        <v>1105.7887858823531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255"/>
      <c r="J62" s="252"/>
      <c r="K62" s="252"/>
      <c r="L62" s="259"/>
      <c r="M62" s="259"/>
      <c r="N62" s="259"/>
      <c r="O62" s="259"/>
      <c r="P62" s="259"/>
      <c r="Q62" s="2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253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54"/>
      <c r="S63" s="254"/>
      <c r="T63" s="25"/>
      <c r="U63" s="25"/>
      <c r="V63" s="25"/>
      <c r="W63" s="165"/>
      <c r="X63" s="260"/>
      <c r="Y63" s="260"/>
      <c r="Z63" s="167"/>
      <c r="AA63" s="168"/>
      <c r="AB63" s="711">
        <f>SUM(AB61:AC61)</f>
        <v>45.637176470588244</v>
      </c>
      <c r="AC63" s="711"/>
      <c r="AD63" s="169" t="s">
        <v>57</v>
      </c>
      <c r="AE63" s="25"/>
      <c r="AF63" s="25"/>
      <c r="AG63" s="25"/>
      <c r="AH63" s="712">
        <f>SUM(AH60:AK61)</f>
        <v>1961.8567383823533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111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251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45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111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110</v>
      </c>
      <c r="W65" s="173">
        <f>W54</f>
        <v>14.55</v>
      </c>
      <c r="X65" s="258" t="s">
        <v>112</v>
      </c>
      <c r="Y65" s="259" t="s">
        <v>113</v>
      </c>
      <c r="Z65" s="719">
        <f>IF('様式11-5'!U$1="LPG",0,P$22)</f>
        <v>0</v>
      </c>
      <c r="AA65" s="719"/>
      <c r="AB65" s="23" t="s">
        <v>46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54"/>
      <c r="S66" s="254"/>
      <c r="T66" s="25"/>
      <c r="U66" s="25"/>
      <c r="V66" s="25"/>
      <c r="W66" s="165"/>
      <c r="X66" s="260"/>
      <c r="Y66" s="260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52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251" t="s">
        <v>51</v>
      </c>
      <c r="AD67" s="28"/>
      <c r="AE67" s="28"/>
      <c r="AF67" s="28"/>
      <c r="AG67" s="28"/>
      <c r="AH67" s="640">
        <f>IF(AH55+AH56=0,0,R67*AB67)</f>
        <v>1320</v>
      </c>
      <c r="AI67" s="641"/>
      <c r="AJ67" s="641"/>
      <c r="AK67" s="642"/>
      <c r="AL67" s="617" t="s">
        <v>52</v>
      </c>
      <c r="AM67" s="618"/>
      <c r="AN67" s="594">
        <f>AN34</f>
        <v>6</v>
      </c>
      <c r="AO67" s="595"/>
      <c r="AP67" s="613" t="s">
        <v>45</v>
      </c>
      <c r="AQ67" s="614"/>
      <c r="AR67" s="625">
        <f>AN67*X69/1000</f>
        <v>2.9364705882352942E-2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4.8941176470588239</v>
      </c>
      <c r="Y68" s="644"/>
      <c r="Z68" s="23" t="s">
        <v>46</v>
      </c>
      <c r="AA68" s="23"/>
      <c r="AB68" s="23"/>
      <c r="AC68" s="24"/>
      <c r="AD68" s="23"/>
      <c r="AE68" s="23"/>
      <c r="AF68" s="23"/>
      <c r="AG68" s="23"/>
      <c r="AH68" s="558">
        <f>R68*X68</f>
        <v>2153.4117647058824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54"/>
      <c r="S69" s="254"/>
      <c r="T69" s="25"/>
      <c r="U69" s="25"/>
      <c r="V69" s="25"/>
      <c r="W69" s="165"/>
      <c r="X69" s="716">
        <f>SUM(X68:Y68)</f>
        <v>4.8941176470588239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3473.4117647058824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1285.8699999999999</v>
      </c>
      <c r="S71" s="548"/>
      <c r="T71" s="28" t="s">
        <v>71</v>
      </c>
      <c r="U71" s="28"/>
      <c r="V71" s="28"/>
      <c r="W71" s="549">
        <f>$W$27</f>
        <v>0.78323529411764725</v>
      </c>
      <c r="X71" s="549"/>
      <c r="Y71" s="28" t="s">
        <v>70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856.06795250000016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72</v>
      </c>
      <c r="AQ71" s="662"/>
      <c r="AR71" s="663">
        <f>AN71*AB74/1000</f>
        <v>5.8951058823529428E-3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157</v>
      </c>
      <c r="S72" s="33">
        <f>IF(P72="夏季",料金単価!$D$3,料金単価!$E$3)</f>
        <v>12.63</v>
      </c>
      <c r="T72" s="148" t="s">
        <v>62</v>
      </c>
      <c r="U72" s="149">
        <f>$U$28</f>
        <v>7.29</v>
      </c>
      <c r="V72" s="148" t="s">
        <v>62</v>
      </c>
      <c r="W72" s="150">
        <f>$W$28</f>
        <v>3.45</v>
      </c>
      <c r="X72" s="151" t="s">
        <v>64</v>
      </c>
      <c r="Y72" s="24" t="s">
        <v>61</v>
      </c>
      <c r="Z72" s="151"/>
      <c r="AA72" s="32"/>
      <c r="AB72" s="702">
        <f>R$17+R$19+R$21</f>
        <v>13.129411764705885</v>
      </c>
      <c r="AC72" s="702"/>
      <c r="AD72" s="24" t="s">
        <v>63</v>
      </c>
      <c r="AE72" s="24"/>
      <c r="AF72" s="24"/>
      <c r="AG72" s="152"/>
      <c r="AH72" s="648">
        <f>(S72+U72+W72)*AB72</f>
        <v>306.83435294117658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255"/>
      <c r="J73" s="252"/>
      <c r="K73" s="252"/>
      <c r="L73" s="259"/>
      <c r="M73" s="259"/>
      <c r="N73" s="259"/>
      <c r="O73" s="259"/>
      <c r="P73" s="259"/>
      <c r="Q73" s="2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253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54"/>
      <c r="S74" s="254"/>
      <c r="T74" s="25"/>
      <c r="U74" s="25"/>
      <c r="V74" s="25"/>
      <c r="W74" s="165"/>
      <c r="X74" s="260"/>
      <c r="Y74" s="260"/>
      <c r="Z74" s="167"/>
      <c r="AA74" s="168"/>
      <c r="AB74" s="711">
        <f>SUM(AB72:AC72)</f>
        <v>13.129411764705885</v>
      </c>
      <c r="AC74" s="711"/>
      <c r="AD74" s="169" t="s">
        <v>57</v>
      </c>
      <c r="AE74" s="25"/>
      <c r="AF74" s="25"/>
      <c r="AG74" s="25"/>
      <c r="AH74" s="712">
        <f>SUM(AH71:AK72)</f>
        <v>1162.9023054411768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111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251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45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111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110</v>
      </c>
      <c r="W76" s="173">
        <f>W65</f>
        <v>14.55</v>
      </c>
      <c r="X76" s="258" t="s">
        <v>112</v>
      </c>
      <c r="Y76" s="259" t="s">
        <v>113</v>
      </c>
      <c r="Z76" s="665">
        <f>IF('様式11-5'!U$1="LPG",0,R$22)</f>
        <v>0</v>
      </c>
      <c r="AA76" s="665"/>
      <c r="AB76" s="23" t="s">
        <v>46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54"/>
      <c r="S77" s="254"/>
      <c r="T77" s="25"/>
      <c r="U77" s="25"/>
      <c r="V77" s="25"/>
      <c r="W77" s="165"/>
      <c r="X77" s="260"/>
      <c r="Y77" s="260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52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251" t="s">
        <v>51</v>
      </c>
      <c r="AD78" s="28"/>
      <c r="AE78" s="28"/>
      <c r="AF78" s="28"/>
      <c r="AG78" s="28"/>
      <c r="AH78" s="640">
        <f>IF(AH66+AH67=0,0,R78*AB78)</f>
        <v>1320</v>
      </c>
      <c r="AI78" s="641"/>
      <c r="AJ78" s="641"/>
      <c r="AK78" s="642"/>
      <c r="AL78" s="617" t="s">
        <v>52</v>
      </c>
      <c r="AM78" s="618"/>
      <c r="AN78" s="594">
        <f>AN45</f>
        <v>6</v>
      </c>
      <c r="AO78" s="595"/>
      <c r="AP78" s="613" t="s">
        <v>45</v>
      </c>
      <c r="AQ78" s="614"/>
      <c r="AR78" s="625">
        <f>AN78*X80/1000</f>
        <v>2.9364705882352942E-2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4.8941176470588239</v>
      </c>
      <c r="Y79" s="644"/>
      <c r="Z79" s="23" t="s">
        <v>46</v>
      </c>
      <c r="AA79" s="23"/>
      <c r="AB79" s="23"/>
      <c r="AC79" s="24"/>
      <c r="AD79" s="23"/>
      <c r="AE79" s="23"/>
      <c r="AF79" s="23"/>
      <c r="AG79" s="23"/>
      <c r="AH79" s="558">
        <f>R79*X79</f>
        <v>2153.4117647058824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54"/>
      <c r="S80" s="254"/>
      <c r="T80" s="25"/>
      <c r="U80" s="25"/>
      <c r="V80" s="25"/>
      <c r="W80" s="165"/>
      <c r="X80" s="716">
        <f>SUM(X79:Y79)</f>
        <v>4.8941176470588239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3473.4117647058824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1285.8699999999999</v>
      </c>
      <c r="S82" s="548"/>
      <c r="T82" s="28" t="s">
        <v>71</v>
      </c>
      <c r="U82" s="28"/>
      <c r="V82" s="28"/>
      <c r="W82" s="549">
        <f>$W$27</f>
        <v>0.78323529411764725</v>
      </c>
      <c r="X82" s="549"/>
      <c r="Y82" s="28" t="s">
        <v>70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856.06795250000016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72</v>
      </c>
      <c r="AQ82" s="662"/>
      <c r="AR82" s="663">
        <f>AN82*AB85/1000</f>
        <v>5.7049411764705897E-3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197</v>
      </c>
      <c r="Q83" s="646"/>
      <c r="R83" s="34" t="s">
        <v>157</v>
      </c>
      <c r="S83" s="33">
        <f>IF(P83="夏季",料金単価!$D$3,料金単価!$E$3)</f>
        <v>12.63</v>
      </c>
      <c r="T83" s="148" t="s">
        <v>62</v>
      </c>
      <c r="U83" s="149">
        <f>$U$28</f>
        <v>7.29</v>
      </c>
      <c r="V83" s="148" t="s">
        <v>62</v>
      </c>
      <c r="W83" s="150">
        <f>$W$28</f>
        <v>3.45</v>
      </c>
      <c r="X83" s="151" t="s">
        <v>64</v>
      </c>
      <c r="Y83" s="24" t="s">
        <v>61</v>
      </c>
      <c r="Z83" s="151"/>
      <c r="AA83" s="32"/>
      <c r="AB83" s="702">
        <f>T$17+T$19+T$21</f>
        <v>12.705882352941179</v>
      </c>
      <c r="AC83" s="702"/>
      <c r="AD83" s="24" t="s">
        <v>63</v>
      </c>
      <c r="AE83" s="24"/>
      <c r="AF83" s="24"/>
      <c r="AG83" s="152"/>
      <c r="AH83" s="648">
        <f>(S83+U83+W83)*AB83</f>
        <v>296.93647058823535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255"/>
      <c r="J84" s="252"/>
      <c r="K84" s="252"/>
      <c r="L84" s="259"/>
      <c r="M84" s="259"/>
      <c r="N84" s="259"/>
      <c r="O84" s="259"/>
      <c r="P84" s="259"/>
      <c r="Q84" s="2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253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54"/>
      <c r="S85" s="254"/>
      <c r="T85" s="25"/>
      <c r="U85" s="25"/>
      <c r="V85" s="25"/>
      <c r="W85" s="165"/>
      <c r="X85" s="260"/>
      <c r="Y85" s="260"/>
      <c r="Z85" s="167"/>
      <c r="AA85" s="168"/>
      <c r="AB85" s="711">
        <f>SUM(AB83:AC83)</f>
        <v>12.705882352941179</v>
      </c>
      <c r="AC85" s="711"/>
      <c r="AD85" s="169" t="s">
        <v>57</v>
      </c>
      <c r="AE85" s="25"/>
      <c r="AF85" s="25"/>
      <c r="AG85" s="25"/>
      <c r="AH85" s="712">
        <f>SUM(AH82:AK83)</f>
        <v>1153.0044230882354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111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251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45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111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110</v>
      </c>
      <c r="W87" s="173">
        <f>W76</f>
        <v>14.55</v>
      </c>
      <c r="X87" s="258" t="s">
        <v>112</v>
      </c>
      <c r="Y87" s="259" t="s">
        <v>113</v>
      </c>
      <c r="Z87" s="665">
        <f>IF('様式11-5'!U$1="LPG",0,T$22)</f>
        <v>0</v>
      </c>
      <c r="AA87" s="665"/>
      <c r="AB87" s="23" t="s">
        <v>46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54"/>
      <c r="S88" s="254"/>
      <c r="T88" s="25"/>
      <c r="U88" s="25"/>
      <c r="V88" s="25"/>
      <c r="W88" s="165"/>
      <c r="X88" s="260"/>
      <c r="Y88" s="260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52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251" t="s">
        <v>51</v>
      </c>
      <c r="AD89" s="28"/>
      <c r="AE89" s="28"/>
      <c r="AF89" s="28"/>
      <c r="AG89" s="28"/>
      <c r="AH89" s="640">
        <f>IF(AH77+AH78=0,0,R89*AB89)</f>
        <v>1320</v>
      </c>
      <c r="AI89" s="641"/>
      <c r="AJ89" s="641"/>
      <c r="AK89" s="642"/>
      <c r="AL89" s="617" t="s">
        <v>52</v>
      </c>
      <c r="AM89" s="618"/>
      <c r="AN89" s="594">
        <f>AN56</f>
        <v>6</v>
      </c>
      <c r="AO89" s="595"/>
      <c r="AP89" s="613" t="s">
        <v>45</v>
      </c>
      <c r="AQ89" s="614"/>
      <c r="AR89" s="625">
        <f>AN89*X91/1000</f>
        <v>2.9364705882352942E-2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4.8941176470588239</v>
      </c>
      <c r="Y90" s="644"/>
      <c r="Z90" s="23" t="s">
        <v>46</v>
      </c>
      <c r="AA90" s="23"/>
      <c r="AB90" s="23"/>
      <c r="AC90" s="24"/>
      <c r="AD90" s="23"/>
      <c r="AE90" s="23"/>
      <c r="AF90" s="23"/>
      <c r="AG90" s="23"/>
      <c r="AH90" s="558">
        <f>R90*X90</f>
        <v>2153.4117647058824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54"/>
      <c r="S91" s="254"/>
      <c r="T91" s="25"/>
      <c r="U91" s="25"/>
      <c r="V91" s="25"/>
      <c r="W91" s="165"/>
      <c r="X91" s="716">
        <f>SUM(X90:Y90)</f>
        <v>4.8941176470588239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3473.4117647058824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1285.8699999999999</v>
      </c>
      <c r="S93" s="548"/>
      <c r="T93" s="28" t="s">
        <v>71</v>
      </c>
      <c r="U93" s="28"/>
      <c r="V93" s="28"/>
      <c r="W93" s="549">
        <f>$W$27</f>
        <v>0.78323529411764725</v>
      </c>
      <c r="X93" s="549"/>
      <c r="Y93" s="28" t="s">
        <v>70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856.06795250000016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72</v>
      </c>
      <c r="AQ93" s="662"/>
      <c r="AR93" s="663">
        <f>AN93*AB96/1000</f>
        <v>0.10983537308235294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203</v>
      </c>
      <c r="M94" s="618"/>
      <c r="N94" s="618"/>
      <c r="O94" s="678"/>
      <c r="P94" s="643" t="s">
        <v>197</v>
      </c>
      <c r="Q94" s="646"/>
      <c r="R94" s="34" t="s">
        <v>157</v>
      </c>
      <c r="S94" s="33">
        <f>IF(P94="夏季",料金単価!$D$3,料金単価!$E$3)</f>
        <v>12.63</v>
      </c>
      <c r="T94" s="148" t="s">
        <v>62</v>
      </c>
      <c r="U94" s="149">
        <f>$U$28</f>
        <v>7.29</v>
      </c>
      <c r="V94" s="148" t="s">
        <v>62</v>
      </c>
      <c r="W94" s="150">
        <f>$W$28</f>
        <v>3.45</v>
      </c>
      <c r="X94" s="151" t="s">
        <v>64</v>
      </c>
      <c r="Y94" s="24" t="s">
        <v>61</v>
      </c>
      <c r="Z94" s="151"/>
      <c r="AA94" s="32"/>
      <c r="AB94" s="702">
        <f>V$17+V$19+V$21</f>
        <v>244.6222117647059</v>
      </c>
      <c r="AC94" s="702"/>
      <c r="AD94" s="24" t="s">
        <v>63</v>
      </c>
      <c r="AE94" s="24"/>
      <c r="AF94" s="24"/>
      <c r="AG94" s="152"/>
      <c r="AH94" s="648">
        <f>(S94+U94+W94)*AB94</f>
        <v>5716.8210889411766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255"/>
      <c r="J95" s="252"/>
      <c r="K95" s="252"/>
      <c r="L95" s="259"/>
      <c r="M95" s="259"/>
      <c r="N95" s="259"/>
      <c r="O95" s="259"/>
      <c r="P95" s="259"/>
      <c r="Q95" s="2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253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54"/>
      <c r="S96" s="254"/>
      <c r="T96" s="25"/>
      <c r="U96" s="25"/>
      <c r="V96" s="25"/>
      <c r="W96" s="165"/>
      <c r="X96" s="260"/>
      <c r="Y96" s="260"/>
      <c r="Z96" s="167"/>
      <c r="AA96" s="168"/>
      <c r="AB96" s="711">
        <f>SUM(AB94:AC94)</f>
        <v>244.6222117647059</v>
      </c>
      <c r="AC96" s="711"/>
      <c r="AD96" s="169" t="s">
        <v>57</v>
      </c>
      <c r="AE96" s="25"/>
      <c r="AF96" s="25"/>
      <c r="AG96" s="25"/>
      <c r="AH96" s="712">
        <f>SUM(AH93:AK94)</f>
        <v>6572.8890414411771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111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251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45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111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110</v>
      </c>
      <c r="W98" s="173">
        <f>W87</f>
        <v>14.55</v>
      </c>
      <c r="X98" s="258" t="s">
        <v>112</v>
      </c>
      <c r="Y98" s="259" t="s">
        <v>113</v>
      </c>
      <c r="Z98" s="665">
        <f>IF('様式11-5'!U$1="LPG",0,V$23)</f>
        <v>0</v>
      </c>
      <c r="AA98" s="665"/>
      <c r="AB98" s="23" t="s">
        <v>46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54"/>
      <c r="S99" s="254"/>
      <c r="T99" s="25"/>
      <c r="U99" s="25"/>
      <c r="V99" s="25"/>
      <c r="W99" s="165"/>
      <c r="X99" s="260"/>
      <c r="Y99" s="260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52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251" t="s">
        <v>51</v>
      </c>
      <c r="AD100" s="28"/>
      <c r="AE100" s="28"/>
      <c r="AF100" s="28"/>
      <c r="AG100" s="28"/>
      <c r="AH100" s="640">
        <f>IF(AH88+AH89=0,0,R100*AB100)</f>
        <v>1320</v>
      </c>
      <c r="AI100" s="641"/>
      <c r="AJ100" s="641"/>
      <c r="AK100" s="642"/>
      <c r="AL100" s="617" t="s">
        <v>52</v>
      </c>
      <c r="AM100" s="618"/>
      <c r="AN100" s="594">
        <f>AN34</f>
        <v>6</v>
      </c>
      <c r="AO100" s="595"/>
      <c r="AP100" s="613" t="s">
        <v>45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46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54"/>
      <c r="S102" s="254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1320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1285.8699999999999</v>
      </c>
      <c r="S104" s="548"/>
      <c r="T104" s="28" t="s">
        <v>71</v>
      </c>
      <c r="U104" s="28"/>
      <c r="V104" s="28"/>
      <c r="W104" s="549">
        <f>$W$27</f>
        <v>0.78323529411764725</v>
      </c>
      <c r="X104" s="549"/>
      <c r="Y104" s="28" t="s">
        <v>70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856.06795250000016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72</v>
      </c>
      <c r="AQ104" s="662"/>
      <c r="AR104" s="663">
        <f>AN104*AB107/1000</f>
        <v>0.13599751491764706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203</v>
      </c>
      <c r="M105" s="618"/>
      <c r="N105" s="618"/>
      <c r="O105" s="678"/>
      <c r="P105" s="643" t="s">
        <v>197</v>
      </c>
      <c r="Q105" s="646"/>
      <c r="R105" s="34" t="s">
        <v>157</v>
      </c>
      <c r="S105" s="33">
        <f>IF(P105="夏季",料金単価!$D$3,料金単価!$E$3)</f>
        <v>12.63</v>
      </c>
      <c r="T105" s="148" t="s">
        <v>62</v>
      </c>
      <c r="U105" s="149">
        <f>$U$28</f>
        <v>7.29</v>
      </c>
      <c r="V105" s="148" t="s">
        <v>62</v>
      </c>
      <c r="W105" s="150">
        <f>$W$28</f>
        <v>3.45</v>
      </c>
      <c r="X105" s="151" t="s">
        <v>64</v>
      </c>
      <c r="Y105" s="24" t="s">
        <v>61</v>
      </c>
      <c r="Z105" s="151"/>
      <c r="AA105" s="32"/>
      <c r="AB105" s="702">
        <f>X$17+X$19+X$21</f>
        <v>302.88978823529413</v>
      </c>
      <c r="AC105" s="702"/>
      <c r="AD105" s="24" t="s">
        <v>63</v>
      </c>
      <c r="AE105" s="24"/>
      <c r="AF105" s="24"/>
      <c r="AG105" s="152"/>
      <c r="AH105" s="648">
        <f>(S105+U105+W105)*AB105</f>
        <v>7078.5343510588245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255"/>
      <c r="J106" s="252"/>
      <c r="K106" s="252"/>
      <c r="L106" s="259"/>
      <c r="M106" s="259"/>
      <c r="N106" s="259"/>
      <c r="O106" s="259"/>
      <c r="P106" s="259"/>
      <c r="Q106" s="2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253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54"/>
      <c r="S107" s="254"/>
      <c r="T107" s="25"/>
      <c r="U107" s="25"/>
      <c r="V107" s="25"/>
      <c r="W107" s="165"/>
      <c r="X107" s="260"/>
      <c r="Y107" s="260"/>
      <c r="Z107" s="167"/>
      <c r="AA107" s="168"/>
      <c r="AB107" s="711">
        <f>SUM(AB105:AC105)</f>
        <v>302.88978823529413</v>
      </c>
      <c r="AC107" s="711"/>
      <c r="AD107" s="169" t="s">
        <v>57</v>
      </c>
      <c r="AE107" s="25"/>
      <c r="AF107" s="25"/>
      <c r="AG107" s="25"/>
      <c r="AH107" s="712">
        <f>SUM(AH104:AK105)</f>
        <v>7934.602303558825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111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251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45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111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110</v>
      </c>
      <c r="W109" s="173">
        <f>W98</f>
        <v>14.55</v>
      </c>
      <c r="X109" s="258" t="s">
        <v>112</v>
      </c>
      <c r="Y109" s="259" t="s">
        <v>113</v>
      </c>
      <c r="Z109" s="665">
        <f>IF('様式11-5'!U$1="LPG",0,X$23)</f>
        <v>0</v>
      </c>
      <c r="AA109" s="665"/>
      <c r="AB109" s="23" t="s">
        <v>46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54"/>
      <c r="S110" s="254"/>
      <c r="T110" s="25"/>
      <c r="U110" s="25"/>
      <c r="V110" s="25"/>
      <c r="W110" s="165"/>
      <c r="X110" s="260"/>
      <c r="Y110" s="260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52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251" t="s">
        <v>51</v>
      </c>
      <c r="AD111" s="28"/>
      <c r="AE111" s="28"/>
      <c r="AF111" s="28"/>
      <c r="AG111" s="28"/>
      <c r="AH111" s="640">
        <f>IF(AH99+AH100=0,0,R111*AB111)</f>
        <v>1320</v>
      </c>
      <c r="AI111" s="641"/>
      <c r="AJ111" s="641"/>
      <c r="AK111" s="642"/>
      <c r="AL111" s="617" t="s">
        <v>52</v>
      </c>
      <c r="AM111" s="618"/>
      <c r="AN111" s="594">
        <f>AN34</f>
        <v>6</v>
      </c>
      <c r="AO111" s="595"/>
      <c r="AP111" s="613" t="s">
        <v>45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46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54"/>
      <c r="S113" s="254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1320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1285.8699999999999</v>
      </c>
      <c r="S115" s="548"/>
      <c r="T115" s="28" t="s">
        <v>71</v>
      </c>
      <c r="U115" s="28"/>
      <c r="V115" s="28"/>
      <c r="W115" s="549">
        <f>$W$27</f>
        <v>0.78323529411764725</v>
      </c>
      <c r="X115" s="549"/>
      <c r="Y115" s="28" t="s">
        <v>70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856.06795250000016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72</v>
      </c>
      <c r="AQ115" s="662"/>
      <c r="AR115" s="663">
        <f>AN115*AB118/1000</f>
        <v>0.15168982192941177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197</v>
      </c>
      <c r="Q116" s="646"/>
      <c r="R116" s="34" t="s">
        <v>157</v>
      </c>
      <c r="S116" s="33">
        <f>IF(P116="夏季",料金単価!$D$3,料金単価!$E$3)</f>
        <v>12.63</v>
      </c>
      <c r="T116" s="148" t="s">
        <v>62</v>
      </c>
      <c r="U116" s="149">
        <f>$U$28</f>
        <v>7.29</v>
      </c>
      <c r="V116" s="148" t="s">
        <v>62</v>
      </c>
      <c r="W116" s="150">
        <f>$W$28</f>
        <v>3.45</v>
      </c>
      <c r="X116" s="151" t="s">
        <v>64</v>
      </c>
      <c r="Y116" s="24" t="s">
        <v>61</v>
      </c>
      <c r="Z116" s="151"/>
      <c r="AA116" s="32"/>
      <c r="AB116" s="702">
        <f>Z$17+Z$19+Z21</f>
        <v>337.83924705882356</v>
      </c>
      <c r="AC116" s="702"/>
      <c r="AD116" s="24" t="s">
        <v>63</v>
      </c>
      <c r="AE116" s="24"/>
      <c r="AF116" s="24"/>
      <c r="AG116" s="152"/>
      <c r="AH116" s="648">
        <f>(S116+U116+W116)*AB116</f>
        <v>7895.3032037647072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255"/>
      <c r="J117" s="252"/>
      <c r="K117" s="252"/>
      <c r="L117" s="259"/>
      <c r="M117" s="259"/>
      <c r="N117" s="259"/>
      <c r="O117" s="259"/>
      <c r="P117" s="259"/>
      <c r="Q117" s="2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253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54"/>
      <c r="S118" s="254"/>
      <c r="T118" s="25"/>
      <c r="U118" s="25"/>
      <c r="V118" s="25"/>
      <c r="W118" s="165"/>
      <c r="X118" s="260"/>
      <c r="Y118" s="260"/>
      <c r="Z118" s="167"/>
      <c r="AA118" s="168"/>
      <c r="AB118" s="711">
        <f>SUM(AB116:AC116)</f>
        <v>337.83924705882356</v>
      </c>
      <c r="AC118" s="711"/>
      <c r="AD118" s="169" t="s">
        <v>57</v>
      </c>
      <c r="AE118" s="25"/>
      <c r="AF118" s="25"/>
      <c r="AG118" s="25"/>
      <c r="AH118" s="712">
        <f>SUM(AH115:AK116)</f>
        <v>8751.3711562647077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111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251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45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111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110</v>
      </c>
      <c r="W120" s="173">
        <f>W109</f>
        <v>14.55</v>
      </c>
      <c r="X120" s="258" t="s">
        <v>112</v>
      </c>
      <c r="Y120" s="259" t="s">
        <v>113</v>
      </c>
      <c r="Z120" s="665">
        <f>IF('様式11-5'!U$1="LPG",0,Z$23)</f>
        <v>0</v>
      </c>
      <c r="AA120" s="665"/>
      <c r="AB120" s="23" t="s">
        <v>46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54"/>
      <c r="S121" s="254"/>
      <c r="T121" s="25"/>
      <c r="U121" s="25"/>
      <c r="V121" s="25"/>
      <c r="W121" s="165"/>
      <c r="X121" s="260"/>
      <c r="Y121" s="260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52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251" t="s">
        <v>51</v>
      </c>
      <c r="AD122" s="28"/>
      <c r="AE122" s="28"/>
      <c r="AF122" s="28"/>
      <c r="AG122" s="28"/>
      <c r="AH122" s="640">
        <f>IF(AH110+AH111=0,0,R122*AB122)</f>
        <v>1320</v>
      </c>
      <c r="AI122" s="641"/>
      <c r="AJ122" s="641"/>
      <c r="AK122" s="642"/>
      <c r="AL122" s="617" t="s">
        <v>52</v>
      </c>
      <c r="AM122" s="618"/>
      <c r="AN122" s="594">
        <f>AN34</f>
        <v>6</v>
      </c>
      <c r="AO122" s="595"/>
      <c r="AP122" s="613" t="s">
        <v>45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46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54"/>
      <c r="S124" s="254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1320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1285.8699999999999</v>
      </c>
      <c r="S126" s="548"/>
      <c r="T126" s="28" t="s">
        <v>71</v>
      </c>
      <c r="U126" s="28"/>
      <c r="V126" s="28"/>
      <c r="W126" s="549">
        <f>$W$27</f>
        <v>0.78323529411764725</v>
      </c>
      <c r="X126" s="549"/>
      <c r="Y126" s="28" t="s">
        <v>70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856.06795250000016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72</v>
      </c>
      <c r="AQ126" s="662"/>
      <c r="AR126" s="663">
        <f>AN126*AB129/1000</f>
        <v>7.2665145788235283E-2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203</v>
      </c>
      <c r="M127" s="618"/>
      <c r="N127" s="618"/>
      <c r="O127" s="678"/>
      <c r="P127" s="643" t="s">
        <v>197</v>
      </c>
      <c r="Q127" s="646"/>
      <c r="R127" s="34" t="s">
        <v>157</v>
      </c>
      <c r="S127" s="33">
        <f>IF(P127="夏季",料金単価!$D$3,料金単価!$E$3)</f>
        <v>12.63</v>
      </c>
      <c r="T127" s="148" t="s">
        <v>62</v>
      </c>
      <c r="U127" s="149">
        <f>$U$28</f>
        <v>7.29</v>
      </c>
      <c r="V127" s="148" t="s">
        <v>62</v>
      </c>
      <c r="W127" s="150">
        <f>$W$28</f>
        <v>3.45</v>
      </c>
      <c r="X127" s="151" t="s">
        <v>64</v>
      </c>
      <c r="Y127" s="24" t="s">
        <v>61</v>
      </c>
      <c r="Z127" s="151"/>
      <c r="AA127" s="32"/>
      <c r="AB127" s="702">
        <f>AB$17+AB$19+AB21</f>
        <v>161.83774117647056</v>
      </c>
      <c r="AC127" s="702"/>
      <c r="AD127" s="24" t="s">
        <v>63</v>
      </c>
      <c r="AE127" s="24"/>
      <c r="AF127" s="24"/>
      <c r="AG127" s="152"/>
      <c r="AH127" s="648">
        <f>(S127+U127+W127)*AB127</f>
        <v>3782.1480112941172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255"/>
      <c r="J128" s="252"/>
      <c r="K128" s="252"/>
      <c r="L128" s="259"/>
      <c r="M128" s="259"/>
      <c r="N128" s="259"/>
      <c r="O128" s="259"/>
      <c r="P128" s="259"/>
      <c r="Q128" s="2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253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54"/>
      <c r="S129" s="254"/>
      <c r="T129" s="25"/>
      <c r="U129" s="25"/>
      <c r="V129" s="25"/>
      <c r="W129" s="165"/>
      <c r="X129" s="260"/>
      <c r="Y129" s="260"/>
      <c r="Z129" s="167"/>
      <c r="AA129" s="168"/>
      <c r="AB129" s="711">
        <f>SUM(AB127:AC127)</f>
        <v>161.83774117647056</v>
      </c>
      <c r="AC129" s="711"/>
      <c r="AD129" s="169" t="s">
        <v>57</v>
      </c>
      <c r="AE129" s="25"/>
      <c r="AF129" s="25"/>
      <c r="AG129" s="25"/>
      <c r="AH129" s="712">
        <f>SUM(AH126:AK127)</f>
        <v>4638.2159637941177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111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251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45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111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110</v>
      </c>
      <c r="W131" s="173">
        <f>W120</f>
        <v>14.55</v>
      </c>
      <c r="X131" s="258" t="s">
        <v>112</v>
      </c>
      <c r="Y131" s="259" t="s">
        <v>113</v>
      </c>
      <c r="Z131" s="665">
        <f>IF('様式11-5'!U$1="LPG",0,AB$23)</f>
        <v>0</v>
      </c>
      <c r="AA131" s="665"/>
      <c r="AB131" s="23" t="s">
        <v>46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54"/>
      <c r="S132" s="254"/>
      <c r="T132" s="25"/>
      <c r="U132" s="25"/>
      <c r="V132" s="25"/>
      <c r="W132" s="165"/>
      <c r="X132" s="260"/>
      <c r="Y132" s="260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52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251" t="s">
        <v>51</v>
      </c>
      <c r="AD133" s="28"/>
      <c r="AE133" s="28"/>
      <c r="AF133" s="28"/>
      <c r="AG133" s="28"/>
      <c r="AH133" s="640">
        <f>IF(AH121+AH122=0,0,R133*AB133)</f>
        <v>1320</v>
      </c>
      <c r="AI133" s="641"/>
      <c r="AJ133" s="641"/>
      <c r="AK133" s="642"/>
      <c r="AL133" s="617" t="s">
        <v>52</v>
      </c>
      <c r="AM133" s="618"/>
      <c r="AN133" s="594">
        <f>AN34</f>
        <v>6</v>
      </c>
      <c r="AO133" s="595"/>
      <c r="AP133" s="613" t="s">
        <v>45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46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54"/>
      <c r="S135" s="254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1320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1285.8699999999999</v>
      </c>
      <c r="S137" s="548"/>
      <c r="T137" s="28" t="s">
        <v>71</v>
      </c>
      <c r="U137" s="28"/>
      <c r="V137" s="28"/>
      <c r="W137" s="549">
        <f>$W$27</f>
        <v>0.78323529411764725</v>
      </c>
      <c r="X137" s="549"/>
      <c r="Y137" s="28" t="s">
        <v>70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856.06795250000016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72</v>
      </c>
      <c r="AQ137" s="662"/>
      <c r="AR137" s="663">
        <f>AN137*AB140/1000</f>
        <v>5.7049411764705897E-3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203</v>
      </c>
      <c r="M138" s="618"/>
      <c r="N138" s="618"/>
      <c r="O138" s="678"/>
      <c r="P138" s="643" t="s">
        <v>197</v>
      </c>
      <c r="Q138" s="646"/>
      <c r="R138" s="34" t="s">
        <v>157</v>
      </c>
      <c r="S138" s="33">
        <f>IF(P138="夏季",料金単価!$D$3,料金単価!$E$3)</f>
        <v>12.63</v>
      </c>
      <c r="T138" s="148" t="s">
        <v>62</v>
      </c>
      <c r="U138" s="149">
        <f>$U$28</f>
        <v>7.29</v>
      </c>
      <c r="V138" s="148" t="s">
        <v>62</v>
      </c>
      <c r="W138" s="150">
        <f>$W$28</f>
        <v>3.45</v>
      </c>
      <c r="X138" s="151" t="s">
        <v>64</v>
      </c>
      <c r="Y138" s="24" t="s">
        <v>61</v>
      </c>
      <c r="Z138" s="151"/>
      <c r="AA138" s="32"/>
      <c r="AB138" s="702">
        <f>AD$17+AD$19+AD$21</f>
        <v>12.705882352941179</v>
      </c>
      <c r="AC138" s="702"/>
      <c r="AD138" s="24" t="s">
        <v>63</v>
      </c>
      <c r="AE138" s="24"/>
      <c r="AF138" s="24"/>
      <c r="AG138" s="152"/>
      <c r="AH138" s="648">
        <f>(S138+U138+W138)*AB138</f>
        <v>296.93647058823535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255"/>
      <c r="J139" s="252"/>
      <c r="K139" s="252"/>
      <c r="L139" s="259"/>
      <c r="M139" s="259"/>
      <c r="N139" s="259"/>
      <c r="O139" s="259"/>
      <c r="P139" s="259"/>
      <c r="Q139" s="2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253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54"/>
      <c r="S140" s="254"/>
      <c r="T140" s="25"/>
      <c r="U140" s="25"/>
      <c r="V140" s="25"/>
      <c r="W140" s="165"/>
      <c r="X140" s="260"/>
      <c r="Y140" s="260"/>
      <c r="Z140" s="167"/>
      <c r="AA140" s="168"/>
      <c r="AB140" s="711">
        <f>SUM(AB138:AC138)</f>
        <v>12.705882352941179</v>
      </c>
      <c r="AC140" s="711"/>
      <c r="AD140" s="169" t="s">
        <v>57</v>
      </c>
      <c r="AE140" s="25"/>
      <c r="AF140" s="25"/>
      <c r="AG140" s="25"/>
      <c r="AH140" s="712">
        <f>SUM(AH137:AK138)</f>
        <v>1153.0044230882354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111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251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45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111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110</v>
      </c>
      <c r="W142" s="173">
        <f>W131</f>
        <v>14.55</v>
      </c>
      <c r="X142" s="258" t="s">
        <v>112</v>
      </c>
      <c r="Y142" s="259" t="s">
        <v>113</v>
      </c>
      <c r="Z142" s="665">
        <f>IF('様式11-5'!U$1="LPG",0,AD$22)</f>
        <v>0</v>
      </c>
      <c r="AA142" s="665"/>
      <c r="AB142" s="23" t="s">
        <v>46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54"/>
      <c r="S143" s="254"/>
      <c r="T143" s="25"/>
      <c r="U143" s="25"/>
      <c r="V143" s="25"/>
      <c r="W143" s="165"/>
      <c r="X143" s="260"/>
      <c r="Y143" s="260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52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251" t="s">
        <v>51</v>
      </c>
      <c r="AD144" s="28"/>
      <c r="AE144" s="28"/>
      <c r="AF144" s="28"/>
      <c r="AG144" s="28"/>
      <c r="AH144" s="640">
        <f>IF(AH132+AH133=0,0,R144*AB144)</f>
        <v>1320</v>
      </c>
      <c r="AI144" s="641"/>
      <c r="AJ144" s="641"/>
      <c r="AK144" s="642"/>
      <c r="AL144" s="617" t="s">
        <v>52</v>
      </c>
      <c r="AM144" s="618"/>
      <c r="AN144" s="594">
        <f>AN45</f>
        <v>6</v>
      </c>
      <c r="AO144" s="595"/>
      <c r="AP144" s="613" t="s">
        <v>45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46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54"/>
      <c r="S146" s="254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1320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1285.8699999999999</v>
      </c>
      <c r="S148" s="548"/>
      <c r="T148" s="28" t="s">
        <v>71</v>
      </c>
      <c r="U148" s="28"/>
      <c r="V148" s="28"/>
      <c r="W148" s="549">
        <f>$W$27</f>
        <v>0.78323529411764725</v>
      </c>
      <c r="X148" s="549"/>
      <c r="Y148" s="28" t="s">
        <v>70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856.06795250000016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72</v>
      </c>
      <c r="AQ148" s="662"/>
      <c r="AR148" s="663">
        <f>AN148*AB151/1000</f>
        <v>5.8951058823529428E-3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197</v>
      </c>
      <c r="Q149" s="646"/>
      <c r="R149" s="34" t="s">
        <v>157</v>
      </c>
      <c r="S149" s="33">
        <f>IF(P149="夏季",料金単価!$D$3,料金単価!$E$3)</f>
        <v>12.63</v>
      </c>
      <c r="T149" s="148" t="s">
        <v>62</v>
      </c>
      <c r="U149" s="149">
        <f>$U$28</f>
        <v>7.29</v>
      </c>
      <c r="V149" s="148" t="s">
        <v>62</v>
      </c>
      <c r="W149" s="150">
        <f>$W$28</f>
        <v>3.45</v>
      </c>
      <c r="X149" s="151" t="s">
        <v>64</v>
      </c>
      <c r="Y149" s="24" t="s">
        <v>61</v>
      </c>
      <c r="Z149" s="151"/>
      <c r="AA149" s="32"/>
      <c r="AB149" s="702">
        <f>AF$17+AF$19+AF$21</f>
        <v>13.129411764705885</v>
      </c>
      <c r="AC149" s="702"/>
      <c r="AD149" s="24" t="s">
        <v>63</v>
      </c>
      <c r="AE149" s="24"/>
      <c r="AF149" s="24"/>
      <c r="AG149" s="152"/>
      <c r="AH149" s="648">
        <f>(S149+U149+W149)*AB149</f>
        <v>306.83435294117658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255"/>
      <c r="J150" s="252"/>
      <c r="K150" s="252"/>
      <c r="L150" s="259"/>
      <c r="M150" s="259"/>
      <c r="N150" s="259"/>
      <c r="O150" s="259"/>
      <c r="P150" s="259"/>
      <c r="Q150" s="2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253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54"/>
      <c r="S151" s="254"/>
      <c r="T151" s="25"/>
      <c r="U151" s="25"/>
      <c r="V151" s="25"/>
      <c r="W151" s="165"/>
      <c r="X151" s="260"/>
      <c r="Y151" s="260"/>
      <c r="Z151" s="167"/>
      <c r="AA151" s="168"/>
      <c r="AB151" s="711">
        <f>SUM(AB149:AC149)</f>
        <v>13.129411764705885</v>
      </c>
      <c r="AC151" s="711"/>
      <c r="AD151" s="169" t="s">
        <v>57</v>
      </c>
      <c r="AE151" s="25"/>
      <c r="AF151" s="25"/>
      <c r="AG151" s="25"/>
      <c r="AH151" s="712">
        <f>SUM(AH148:AK149)</f>
        <v>1162.9023054411768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111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251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45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111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110</v>
      </c>
      <c r="W153" s="173">
        <f>W142</f>
        <v>14.55</v>
      </c>
      <c r="X153" s="258" t="s">
        <v>112</v>
      </c>
      <c r="Y153" s="259" t="s">
        <v>113</v>
      </c>
      <c r="Z153" s="665">
        <f>IF('様式11-5'!U$1="LPG",0,AF$22)</f>
        <v>0</v>
      </c>
      <c r="AA153" s="665"/>
      <c r="AB153" s="23" t="s">
        <v>46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54"/>
      <c r="S154" s="254"/>
      <c r="T154" s="25"/>
      <c r="U154" s="25"/>
      <c r="V154" s="25"/>
      <c r="W154" s="165"/>
      <c r="X154" s="260"/>
      <c r="Y154" s="260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52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251" t="s">
        <v>51</v>
      </c>
      <c r="AD155" s="28"/>
      <c r="AE155" s="28"/>
      <c r="AF155" s="28"/>
      <c r="AG155" s="28"/>
      <c r="AH155" s="640">
        <f>IF(AH143+AH144=0,0,R155*AB155)</f>
        <v>1320</v>
      </c>
      <c r="AI155" s="641"/>
      <c r="AJ155" s="641"/>
      <c r="AK155" s="642"/>
      <c r="AL155" s="617" t="s">
        <v>52</v>
      </c>
      <c r="AM155" s="618"/>
      <c r="AN155" s="594">
        <f>AN56</f>
        <v>6</v>
      </c>
      <c r="AO155" s="595"/>
      <c r="AP155" s="613" t="s">
        <v>45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46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54"/>
      <c r="S157" s="254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1320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249"/>
      <c r="C158" s="249"/>
      <c r="D158" s="249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249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250"/>
      <c r="D159" s="25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25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10272.815430000002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72</v>
      </c>
      <c r="AQ161" s="662"/>
      <c r="AR161" s="663">
        <f>AN161*AB166/1000</f>
        <v>0.56554125675294131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120.76884705882355</v>
      </c>
      <c r="AC162" s="557"/>
      <c r="AD162" s="24" t="s">
        <v>63</v>
      </c>
      <c r="AE162" s="24"/>
      <c r="AF162" s="24"/>
      <c r="AG162" s="152"/>
      <c r="AH162" s="648">
        <f>AH39+AH61+AH50</f>
        <v>2926.2291642352948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66.187764705882358</v>
      </c>
      <c r="AC163" s="557"/>
      <c r="AD163" s="24" t="s">
        <v>63</v>
      </c>
      <c r="AE163" s="24"/>
      <c r="AF163" s="24"/>
      <c r="AG163" s="152"/>
      <c r="AH163" s="648">
        <f>AH28+AH72+AH149</f>
        <v>1546.808061176471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1072.6007529411768</v>
      </c>
      <c r="AC164" s="647"/>
      <c r="AD164" s="30" t="s">
        <v>63</v>
      </c>
      <c r="AE164" s="30"/>
      <c r="AF164" s="30"/>
      <c r="AG164" s="253"/>
      <c r="AH164" s="648">
        <f>AH94+AH105+AH116+AH127+AH83+AH138</f>
        <v>25066.679596235299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255"/>
      <c r="J165" s="252"/>
      <c r="K165" s="252"/>
      <c r="L165" s="259"/>
      <c r="M165" s="259"/>
      <c r="N165" s="259"/>
      <c r="O165" s="259"/>
      <c r="P165" s="259"/>
      <c r="Q165" s="2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262"/>
      <c r="AC165" s="262"/>
      <c r="AD165" s="30"/>
      <c r="AE165" s="30"/>
      <c r="AF165" s="30"/>
      <c r="AG165" s="253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9"/>
      <c r="C166" s="620"/>
      <c r="D166" s="932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1259.5573647058827</v>
      </c>
      <c r="AC166" s="701"/>
      <c r="AD166" s="344" t="s">
        <v>57</v>
      </c>
      <c r="AE166" s="337"/>
      <c r="AF166" s="337"/>
      <c r="AG166" s="337"/>
      <c r="AH166" s="652">
        <f>SUM(AH161:AK164)</f>
        <v>39812.532251647062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45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258"/>
      <c r="Y168" s="259"/>
      <c r="Z168" s="257"/>
      <c r="AA168" s="189"/>
      <c r="AB168" s="557">
        <f>Z32+Z43+Z65+Z54+Z76+Z87+Z142+Z153</f>
        <v>0</v>
      </c>
      <c r="AC168" s="557"/>
      <c r="AD168" s="23" t="s">
        <v>46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258"/>
      <c r="Y169" s="259"/>
      <c r="Z169" s="271"/>
      <c r="AA169" s="271"/>
      <c r="AB169" s="562">
        <f>Z98+Z109+Z120+Z131</f>
        <v>0</v>
      </c>
      <c r="AC169" s="562"/>
      <c r="AD169" s="23" t="s">
        <v>46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52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15840</v>
      </c>
      <c r="AI171" s="641"/>
      <c r="AJ171" s="641"/>
      <c r="AK171" s="642"/>
      <c r="AL171" s="617" t="s">
        <v>52</v>
      </c>
      <c r="AM171" s="618"/>
      <c r="AN171" s="594">
        <f>AN34</f>
        <v>6</v>
      </c>
      <c r="AO171" s="595"/>
      <c r="AP171" s="613" t="s">
        <v>45</v>
      </c>
      <c r="AQ171" s="614"/>
      <c r="AR171" s="625">
        <f>AN171*AB173/1000</f>
        <v>0.15608470588235296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26.014117647058825</v>
      </c>
      <c r="AC172" s="562"/>
      <c r="AD172" s="23" t="s">
        <v>46</v>
      </c>
      <c r="AE172" s="23"/>
      <c r="AF172" s="23"/>
      <c r="AG172" s="23"/>
      <c r="AH172" s="558">
        <f>AH35+AH46+AH68+AH101+AH112+AH123+AH134+AH57+AH79+AH90+AH145+AH156</f>
        <v>11446.211764705884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26.014117647058825</v>
      </c>
      <c r="AC173" s="667"/>
      <c r="AD173" s="347" t="s">
        <v>43</v>
      </c>
      <c r="AE173" s="347"/>
      <c r="AF173" s="347"/>
      <c r="AG173" s="347"/>
      <c r="AH173" s="671">
        <f>SUM(AH171:AK172)</f>
        <v>27286.211764705884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195"/>
      <c r="AE174" s="563" t="s">
        <v>218</v>
      </c>
      <c r="AF174" s="564"/>
      <c r="AG174" s="565"/>
      <c r="AH174" s="566">
        <f>+AH166+AH170+AH173</f>
        <v>67098.744016352954</v>
      </c>
      <c r="AI174" s="567"/>
      <c r="AJ174" s="567"/>
      <c r="AK174" s="568"/>
      <c r="AP174" s="563" t="s">
        <v>1</v>
      </c>
      <c r="AQ174" s="564"/>
      <c r="AR174" s="569">
        <f>SUM(AR161:AT173)</f>
        <v>0.72162596263529433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19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126.33474069266626</v>
      </c>
      <c r="AO177" s="582"/>
      <c r="AP177" s="583" t="s">
        <v>220</v>
      </c>
      <c r="AQ177" s="584"/>
      <c r="AR177" s="585">
        <f>AN177*0.0258</f>
        <v>3.2594363098707895</v>
      </c>
      <c r="AS177" s="585"/>
      <c r="AT177" s="585"/>
      <c r="AU177" s="586" t="s">
        <v>119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220</v>
      </c>
      <c r="AQ178" s="584"/>
      <c r="AR178" s="585">
        <f>AN178*0.0258</f>
        <v>0</v>
      </c>
      <c r="AS178" s="585"/>
      <c r="AT178" s="585"/>
      <c r="AU178" s="586" t="s">
        <v>119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116</v>
      </c>
      <c r="AM179" s="599"/>
      <c r="AN179" s="600">
        <f>AB173/92.9</f>
        <v>0.28002279490913695</v>
      </c>
      <c r="AO179" s="601"/>
      <c r="AP179" s="602" t="s">
        <v>220</v>
      </c>
      <c r="AQ179" s="603"/>
      <c r="AR179" s="604">
        <f>AN179*0.0258</f>
        <v>7.2245881086557334E-3</v>
      </c>
      <c r="AS179" s="604"/>
      <c r="AT179" s="604"/>
      <c r="AU179" s="629" t="s">
        <v>119</v>
      </c>
      <c r="AV179" s="630"/>
    </row>
    <row r="180" spans="2:48" ht="14.25" thickBot="1">
      <c r="AP180" s="573" t="s">
        <v>1</v>
      </c>
      <c r="AQ180" s="574"/>
      <c r="AR180" s="575">
        <f>SUM(AR177:AT179)</f>
        <v>3.2666608979794454</v>
      </c>
      <c r="AS180" s="576"/>
      <c r="AT180" s="576"/>
      <c r="AU180" s="577" t="s">
        <v>119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AL179:AM179"/>
    <mergeCell ref="AN179:AO179"/>
    <mergeCell ref="AP179:AQ179"/>
    <mergeCell ref="AR179:AT179"/>
    <mergeCell ref="AP174:AQ174"/>
    <mergeCell ref="AR174:AT174"/>
    <mergeCell ref="AU174:AV174"/>
    <mergeCell ref="AU179:AV179"/>
    <mergeCell ref="AL171:AM173"/>
    <mergeCell ref="B167:D173"/>
    <mergeCell ref="E167:H169"/>
    <mergeCell ref="S167:T167"/>
    <mergeCell ref="AH167:AK167"/>
    <mergeCell ref="AH169:AK169"/>
    <mergeCell ref="P164:Q164"/>
    <mergeCell ref="AB164:AC164"/>
    <mergeCell ref="AH164:AK164"/>
    <mergeCell ref="AB170:AC170"/>
    <mergeCell ref="AH170:AK170"/>
    <mergeCell ref="AR171:AT173"/>
    <mergeCell ref="AU171:AV173"/>
    <mergeCell ref="AR167:AT170"/>
    <mergeCell ref="AH161:AK161"/>
    <mergeCell ref="AL161:AM166"/>
    <mergeCell ref="AN161:AO166"/>
    <mergeCell ref="AP161:AQ166"/>
    <mergeCell ref="E170:H170"/>
    <mergeCell ref="L164:O164"/>
    <mergeCell ref="E171:H172"/>
    <mergeCell ref="R171:S171"/>
    <mergeCell ref="AH171:AK171"/>
    <mergeCell ref="R172:S172"/>
    <mergeCell ref="X172:Y172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N160:AQ160"/>
    <mergeCell ref="AR160:AV160"/>
    <mergeCell ref="AN167:AO170"/>
    <mergeCell ref="AP167:AQ170"/>
    <mergeCell ref="E161:H165"/>
    <mergeCell ref="R161:S161"/>
    <mergeCell ref="W161:X161"/>
    <mergeCell ref="AU167:AV170"/>
    <mergeCell ref="S168:T168"/>
    <mergeCell ref="AB168:AC168"/>
    <mergeCell ref="S169:T169"/>
    <mergeCell ref="AB169:AC169"/>
    <mergeCell ref="AL152:AM154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AE174:AG174"/>
    <mergeCell ref="AH174:AK174"/>
    <mergeCell ref="S153:T153"/>
    <mergeCell ref="Z153:AA153"/>
    <mergeCell ref="AH153:AK153"/>
    <mergeCell ref="X173:Y173"/>
    <mergeCell ref="AB173:AC173"/>
    <mergeCell ref="AH172:AK172"/>
    <mergeCell ref="AL167:AM170"/>
    <mergeCell ref="AH163:AK163"/>
    <mergeCell ref="R144:S144"/>
    <mergeCell ref="Z154:AA154"/>
    <mergeCell ref="AH154:AK154"/>
    <mergeCell ref="X157:Y157"/>
    <mergeCell ref="AH157:AK157"/>
    <mergeCell ref="AH155:AK155"/>
    <mergeCell ref="AP144:AQ146"/>
    <mergeCell ref="E151:H151"/>
    <mergeCell ref="AB151:AC151"/>
    <mergeCell ref="AH151:AK151"/>
    <mergeCell ref="AP148:AQ151"/>
    <mergeCell ref="C148:D151"/>
    <mergeCell ref="E148:H150"/>
    <mergeCell ref="R148:S148"/>
    <mergeCell ref="W148:X148"/>
    <mergeCell ref="AH148:AK148"/>
    <mergeCell ref="AL148:AM151"/>
    <mergeCell ref="AN148:AO151"/>
    <mergeCell ref="B160:D160"/>
    <mergeCell ref="B161:D166"/>
    <mergeCell ref="B148:B157"/>
    <mergeCell ref="E147:H147"/>
    <mergeCell ref="I147:Q147"/>
    <mergeCell ref="R147:AG147"/>
    <mergeCell ref="AH147:AK147"/>
    <mergeCell ref="AL147:AM147"/>
    <mergeCell ref="C141:D146"/>
    <mergeCell ref="AB172:AC172"/>
    <mergeCell ref="AH168:AK168"/>
    <mergeCell ref="AP141:AQ143"/>
    <mergeCell ref="AR141:AT143"/>
    <mergeCell ref="AN147:AQ147"/>
    <mergeCell ref="AR147:AV147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AU155:AV157"/>
    <mergeCell ref="AR148:AT151"/>
    <mergeCell ref="AU148:AV151"/>
    <mergeCell ref="AU141:AV143"/>
    <mergeCell ref="AR144:AT146"/>
    <mergeCell ref="AU144:AV146"/>
    <mergeCell ref="B147:D147"/>
    <mergeCell ref="E157:H157"/>
    <mergeCell ref="E160:H160"/>
    <mergeCell ref="AN152:AO154"/>
    <mergeCell ref="AP152:AQ154"/>
    <mergeCell ref="AR152:AT154"/>
    <mergeCell ref="AU152:AV154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AB138:AC138"/>
    <mergeCell ref="AH138:AK138"/>
    <mergeCell ref="AH139:AK139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AL141:AM143"/>
    <mergeCell ref="R145:S145"/>
    <mergeCell ref="X145:Y145"/>
    <mergeCell ref="AH145:AK145"/>
    <mergeCell ref="E146:H146"/>
    <mergeCell ref="X146:Y146"/>
    <mergeCell ref="AH146:AK146"/>
    <mergeCell ref="AN141:AO143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N136:AQ136"/>
    <mergeCell ref="AR136:AV136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L21:AV21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料金単価!$B$21:$B$28</xm:f>
          </x14:formula1>
          <xm:sqref>Y1:AK1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X180"/>
  <sheetViews>
    <sheetView view="pageBreakPreview" topLeftCell="A8" zoomScaleNormal="115" zoomScaleSheetLayoutView="100" workbookViewId="0">
      <selection activeCell="X35" sqref="X35:Y35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9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9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9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9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9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9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9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9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9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9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9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9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9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9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9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9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9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9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9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9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9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9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9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9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9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9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9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9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9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9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9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9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9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9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9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9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9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9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9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9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9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9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9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9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9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9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9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9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9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9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9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9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9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9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9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9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9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9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9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9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9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9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9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9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SUMIF(料金単価!$B$21:$B$28,$Y$1,料金単価!A21:A28)</f>
        <v>6</v>
      </c>
      <c r="Y1" s="937" t="s">
        <v>373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99"/>
      <c r="L2" s="199"/>
      <c r="M2" s="247"/>
      <c r="N2" s="247"/>
      <c r="O2" s="247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21</v>
      </c>
      <c r="M7" s="912"/>
      <c r="N7" s="766">
        <v>22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20</v>
      </c>
      <c r="W7" s="927"/>
      <c r="X7" s="766">
        <v>19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10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10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150</v>
      </c>
      <c r="K9" s="886"/>
      <c r="L9" s="886">
        <f>+L7*$J$8</f>
        <v>210</v>
      </c>
      <c r="M9" s="886"/>
      <c r="N9" s="886">
        <f>IF(N7="-","-",+N7*$J$8)</f>
        <v>220</v>
      </c>
      <c r="O9" s="886"/>
      <c r="P9" s="886">
        <f>+P7*$J$8</f>
        <v>130</v>
      </c>
      <c r="Q9" s="886"/>
      <c r="R9" s="887" t="s">
        <v>150</v>
      </c>
      <c r="S9" s="850"/>
      <c r="T9" s="850" t="s">
        <v>150</v>
      </c>
      <c r="U9" s="851"/>
      <c r="V9" s="887" t="s">
        <v>150</v>
      </c>
      <c r="W9" s="850"/>
      <c r="X9" s="850" t="s">
        <v>150</v>
      </c>
      <c r="Y9" s="850"/>
      <c r="Z9" s="850" t="s">
        <v>150</v>
      </c>
      <c r="AA9" s="850"/>
      <c r="AB9" s="850" t="s">
        <v>150</v>
      </c>
      <c r="AC9" s="851"/>
      <c r="AD9" s="887" t="s">
        <v>150</v>
      </c>
      <c r="AE9" s="850"/>
      <c r="AF9" s="850" t="s">
        <v>150</v>
      </c>
      <c r="AG9" s="851"/>
      <c r="AH9" s="930">
        <f>SUM(J9:AG9)</f>
        <v>560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150</v>
      </c>
      <c r="K10" s="797"/>
      <c r="L10" s="797" t="s">
        <v>150</v>
      </c>
      <c r="M10" s="797"/>
      <c r="N10" s="797" t="s">
        <v>150</v>
      </c>
      <c r="O10" s="797"/>
      <c r="P10" s="797" t="s">
        <v>150</v>
      </c>
      <c r="Q10" s="799"/>
      <c r="R10" s="845" t="str">
        <f>IF(R7="-","-",+R7*$R$8)</f>
        <v>-</v>
      </c>
      <c r="S10" s="846"/>
      <c r="T10" s="846" t="s">
        <v>150</v>
      </c>
      <c r="U10" s="876"/>
      <c r="V10" s="845">
        <f>IF(V7="-","-",+V7*$V$8)</f>
        <v>200</v>
      </c>
      <c r="W10" s="846"/>
      <c r="X10" s="847">
        <f>IF(X7="-","-",+X7*$V$8)</f>
        <v>190</v>
      </c>
      <c r="Y10" s="874"/>
      <c r="Z10" s="847">
        <f>IF(Z7="-","-",+Z7*$V$8)</f>
        <v>180</v>
      </c>
      <c r="AA10" s="874"/>
      <c r="AB10" s="847">
        <f>IF(AB7="-","-",+AB7*$V$8)</f>
        <v>140</v>
      </c>
      <c r="AC10" s="875"/>
      <c r="AD10" s="845" t="s">
        <v>150</v>
      </c>
      <c r="AE10" s="846"/>
      <c r="AF10" s="846" t="str">
        <f>IF(AF7="-","-",+AF7*$AF$8)</f>
        <v>-</v>
      </c>
      <c r="AG10" s="876"/>
      <c r="AH10" s="828">
        <f>SUM(J10:AG10)</f>
        <v>860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0.27999999999999997</v>
      </c>
      <c r="K11" s="900"/>
      <c r="L11" s="900">
        <f>70%*SUMIF(室名リスト!$L$3:$L$10,$X$1,室名リスト!$N$3:$N$10)</f>
        <v>0.55999999999999994</v>
      </c>
      <c r="M11" s="900"/>
      <c r="N11" s="900">
        <f>80%*SUMIF(室名リスト!$L$3:$L$10,$X$1,室名リスト!$N$3:$N$10)</f>
        <v>0.64000000000000012</v>
      </c>
      <c r="O11" s="900"/>
      <c r="P11" s="900">
        <f>50%*SUMIF(室名リスト!$L$3:$L$10,$X$1,室名リスト!$N$3:$N$10)</f>
        <v>0.4</v>
      </c>
      <c r="Q11" s="901"/>
      <c r="R11" s="902" t="s">
        <v>150</v>
      </c>
      <c r="S11" s="892"/>
      <c r="T11" s="836" t="s">
        <v>150</v>
      </c>
      <c r="U11" s="871"/>
      <c r="V11" s="872">
        <f>45%*SUMIF(室名リスト!$L$3:$L$10,$X$1,室名リスト!$N$3:$N$10)</f>
        <v>0.36000000000000004</v>
      </c>
      <c r="W11" s="873"/>
      <c r="X11" s="873">
        <f>60%*SUMIF(室名リスト!$L$3:$L$10,$X$1,室名リスト!$N$3:$N$10)</f>
        <v>0.48</v>
      </c>
      <c r="Y11" s="873"/>
      <c r="Z11" s="873">
        <f>60%*SUMIF(室名リスト!$L$3:$L$10,$X$1,室名リスト!$N$3:$N$10)</f>
        <v>0.48</v>
      </c>
      <c r="AA11" s="873"/>
      <c r="AB11" s="873">
        <f>35%*SUMIF(室名リスト!$L$3:$L$10,$X$1,室名リスト!$N$3:$N$10)</f>
        <v>0.27999999999999997</v>
      </c>
      <c r="AC11" s="891"/>
      <c r="AD11" s="838" t="s">
        <v>82</v>
      </c>
      <c r="AE11" s="836"/>
      <c r="AF11" s="892" t="s">
        <v>150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150</v>
      </c>
      <c r="K12" s="788"/>
      <c r="L12" s="788">
        <f>+L9*L11</f>
        <v>117.6</v>
      </c>
      <c r="M12" s="788"/>
      <c r="N12" s="788">
        <f>IF(N9="-","-",+N9*N11)</f>
        <v>140.80000000000004</v>
      </c>
      <c r="O12" s="788"/>
      <c r="P12" s="788">
        <f>+P9*P11</f>
        <v>52</v>
      </c>
      <c r="Q12" s="788"/>
      <c r="R12" s="838" t="s">
        <v>150</v>
      </c>
      <c r="S12" s="836"/>
      <c r="T12" s="836" t="s">
        <v>150</v>
      </c>
      <c r="U12" s="871"/>
      <c r="V12" s="887" t="s">
        <v>150</v>
      </c>
      <c r="W12" s="850"/>
      <c r="X12" s="850" t="s">
        <v>150</v>
      </c>
      <c r="Y12" s="850"/>
      <c r="Z12" s="850" t="s">
        <v>150</v>
      </c>
      <c r="AA12" s="850"/>
      <c r="AB12" s="850" t="s">
        <v>150</v>
      </c>
      <c r="AC12" s="851"/>
      <c r="AD12" s="838" t="s">
        <v>150</v>
      </c>
      <c r="AE12" s="836"/>
      <c r="AF12" s="836" t="s">
        <v>150</v>
      </c>
      <c r="AG12" s="837"/>
      <c r="AH12" s="775">
        <f t="shared" ref="AH12:AH21" si="0">SUM(J12:AG12)</f>
        <v>310.40000000000003</v>
      </c>
      <c r="AI12" s="755"/>
      <c r="AJ12" s="755">
        <f>SUM(AH12:AI13)</f>
        <v>641.20000000000005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41.999999999999993</v>
      </c>
      <c r="K13" s="797"/>
      <c r="L13" s="797" t="s">
        <v>150</v>
      </c>
      <c r="M13" s="797"/>
      <c r="N13" s="797" t="s">
        <v>150</v>
      </c>
      <c r="O13" s="797"/>
      <c r="P13" s="797" t="s">
        <v>150</v>
      </c>
      <c r="Q13" s="799"/>
      <c r="R13" s="845" t="str">
        <f>IF(R10="-","-",+R10*R11)</f>
        <v>-</v>
      </c>
      <c r="S13" s="846"/>
      <c r="T13" s="846" t="s">
        <v>150</v>
      </c>
      <c r="U13" s="847"/>
      <c r="V13" s="848">
        <f>IF(V10="-","-",+V10*V11)</f>
        <v>72.000000000000014</v>
      </c>
      <c r="W13" s="849"/>
      <c r="X13" s="798">
        <f>IF(X10="-","-",+X10*X11)</f>
        <v>91.2</v>
      </c>
      <c r="Y13" s="849"/>
      <c r="Z13" s="798">
        <f>IF(Z10="-","-",+Z10*Z11)</f>
        <v>86.399999999999991</v>
      </c>
      <c r="AA13" s="849"/>
      <c r="AB13" s="798">
        <f>IF(AB10="-","-",+AB10*AB11)</f>
        <v>39.199999999999996</v>
      </c>
      <c r="AC13" s="878"/>
      <c r="AD13" s="845" t="s">
        <v>150</v>
      </c>
      <c r="AE13" s="846"/>
      <c r="AF13" s="846" t="str">
        <f>IF(AF10="-","-",+AF10*AF11)</f>
        <v>-</v>
      </c>
      <c r="AG13" s="876"/>
      <c r="AH13" s="828">
        <f t="shared" si="0"/>
        <v>330.79999999999995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150</v>
      </c>
      <c r="K14" s="788"/>
      <c r="L14" s="789">
        <f>IF(L9="-",31*24,31*24-L9)</f>
        <v>534</v>
      </c>
      <c r="M14" s="789"/>
      <c r="N14" s="836">
        <f>IF(N9="-",31*24,31*24-N9)</f>
        <v>524</v>
      </c>
      <c r="O14" s="836"/>
      <c r="P14" s="789">
        <f>IF(P9="-",30*24,30*24-P9)</f>
        <v>590</v>
      </c>
      <c r="Q14" s="877"/>
      <c r="R14" s="838" t="s">
        <v>150</v>
      </c>
      <c r="S14" s="836"/>
      <c r="T14" s="836" t="s">
        <v>150</v>
      </c>
      <c r="U14" s="871"/>
      <c r="V14" s="838" t="s">
        <v>150</v>
      </c>
      <c r="W14" s="836"/>
      <c r="X14" s="836" t="s">
        <v>150</v>
      </c>
      <c r="Y14" s="836"/>
      <c r="Z14" s="836" t="s">
        <v>150</v>
      </c>
      <c r="AA14" s="836"/>
      <c r="AB14" s="836" t="s">
        <v>150</v>
      </c>
      <c r="AC14" s="837"/>
      <c r="AD14" s="838" t="s">
        <v>150</v>
      </c>
      <c r="AE14" s="836"/>
      <c r="AF14" s="836" t="s">
        <v>150</v>
      </c>
      <c r="AG14" s="837"/>
      <c r="AH14" s="775">
        <f t="shared" si="0"/>
        <v>1648</v>
      </c>
      <c r="AI14" s="755"/>
      <c r="AJ14" s="755">
        <f>SUM(AH14:AI15)</f>
        <v>7340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570</v>
      </c>
      <c r="K15" s="764"/>
      <c r="L15" s="765" t="s">
        <v>150</v>
      </c>
      <c r="M15" s="766"/>
      <c r="N15" s="765" t="s">
        <v>150</v>
      </c>
      <c r="O15" s="766"/>
      <c r="P15" s="765" t="s">
        <v>150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544</v>
      </c>
      <c r="W15" s="834"/>
      <c r="X15" s="834">
        <f>IF(X10="-",31*24,31*24-X10)</f>
        <v>554</v>
      </c>
      <c r="Y15" s="834"/>
      <c r="Z15" s="834">
        <f>IF(Z10="-",28*24,28*24-Z10)</f>
        <v>492</v>
      </c>
      <c r="AA15" s="834"/>
      <c r="AB15" s="834">
        <f>IF(AB10="-",31*24,31*24-AB10)</f>
        <v>604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5692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150</v>
      </c>
      <c r="K16" s="861"/>
      <c r="L16" s="862">
        <f>IF(L12="-",0,L12*SUMIF('様式11-5'!$G$92:$G$99,'様式11-6⑥'!$Y$1,'様式11-5'!$Q$92:$Q$99))+L14*SUMIF('様式11-5'!$G$92:$G$99,'様式11-6⑥'!$Y$1,'様式11-5'!$T$92:$T$99)</f>
        <v>0</v>
      </c>
      <c r="M16" s="863"/>
      <c r="N16" s="862">
        <f>IF(N12="-",0,N12*SUMIF('様式11-5'!$G$92:$G$99,'様式11-6⑥'!$Y$1,'様式11-5'!$Q$92:$Q$99))+N14*SUMIF('様式11-5'!$G$92:$G$99,'様式11-6⑥'!$Y$1,'様式11-5'!$T$92:$T$99)</f>
        <v>0</v>
      </c>
      <c r="O16" s="863"/>
      <c r="P16" s="862">
        <f>IF(P12="-",0,P12*SUMIF('様式11-5'!$G$92:$G$99,'様式11-6⑥'!$Y$1,'様式11-5'!$Q$92:$Q$99))+P14*SUMIF('様式11-5'!$G$92:$G$99,'様式11-6⑥'!$Y$1,'様式11-5'!$T$92:$T$99)</f>
        <v>0</v>
      </c>
      <c r="Q16" s="862"/>
      <c r="R16" s="864" t="s">
        <v>150</v>
      </c>
      <c r="S16" s="816"/>
      <c r="T16" s="816" t="s">
        <v>150</v>
      </c>
      <c r="U16" s="865"/>
      <c r="V16" s="864" t="s">
        <v>150</v>
      </c>
      <c r="W16" s="816"/>
      <c r="X16" s="816" t="s">
        <v>150</v>
      </c>
      <c r="Y16" s="816"/>
      <c r="Z16" s="816" t="s">
        <v>150</v>
      </c>
      <c r="AA16" s="816"/>
      <c r="AB16" s="816" t="s">
        <v>150</v>
      </c>
      <c r="AC16" s="817"/>
      <c r="AD16" s="818" t="s">
        <v>150</v>
      </c>
      <c r="AE16" s="816"/>
      <c r="AF16" s="816" t="s">
        <v>150</v>
      </c>
      <c r="AG16" s="817"/>
      <c r="AH16" s="819">
        <f t="shared" si="0"/>
        <v>0</v>
      </c>
      <c r="AI16" s="820"/>
      <c r="AJ16" s="820">
        <f>SUM(AH16:AI17)</f>
        <v>0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IF(J13="-",0,J13*SUMIF('様式11-5'!$G$92:$G$99,'様式11-6⑥'!$Y$1,'様式11-5'!$Q$92:$Q$99))+J15*SUMIF('様式11-5'!$G$92:$G$99,'様式11-6⑥'!$Y$1,'様式11-5'!$T$92:$T$99)</f>
        <v>0</v>
      </c>
      <c r="K17" s="844"/>
      <c r="L17" s="797" t="s">
        <v>150</v>
      </c>
      <c r="M17" s="798"/>
      <c r="N17" s="797" t="s">
        <v>150</v>
      </c>
      <c r="O17" s="798"/>
      <c r="P17" s="797" t="s">
        <v>150</v>
      </c>
      <c r="Q17" s="799"/>
      <c r="R17" s="768">
        <f>IF(R13="-",0,R13*SUMIF('様式11-5'!$G$92:$G$99,'様式11-6⑥'!$Y$1,'様式11-5'!$Q$92:$Q$99))+R15*SUMIF('様式11-5'!$G$92:$G$99,'様式11-6⑥'!$Y$1,'様式11-5'!$T$92:$T$99)</f>
        <v>0</v>
      </c>
      <c r="S17" s="814"/>
      <c r="T17" s="769">
        <f>IF(T13="-",0,T13*SUMIF('様式11-5'!$G$92:$G$99,'様式11-6⑥'!$Y$1,'様式11-5'!$R$92:$R$99))+T15*SUMIF('様式11-5'!$G$92:$G$99,'様式11-6⑥'!$Y$1,'様式11-5'!$T$92:$T$99)</f>
        <v>0</v>
      </c>
      <c r="U17" s="815"/>
      <c r="V17" s="795">
        <f>IF(V13="-",0,V13*SUMIF('様式11-5'!$G$92:$G$99,'様式11-6⑥'!$Y$1,'様式11-5'!$R$92:$R$99))+V15*SUMIF('様式11-5'!$G$92:$G$99,'様式11-6⑥'!$Y$1,'様式11-5'!$T$92:$T$99)</f>
        <v>0</v>
      </c>
      <c r="W17" s="796"/>
      <c r="X17" s="824">
        <f>IF(X13="-",0,X13*SUMIF('様式11-5'!$G$92:$G$99,'様式11-6⑥'!$Y$1,'様式11-5'!$R$92:$R$99))+X15*SUMIF('様式11-5'!$G$92:$G$99,'様式11-6⑥'!$Y$1,'様式11-5'!$T$92:$T$99)</f>
        <v>0</v>
      </c>
      <c r="Y17" s="825"/>
      <c r="Z17" s="824">
        <f>IF(Z13="-",0,Z13*SUMIF('様式11-5'!$G$92:$G$99,'様式11-6⑥'!$Y$1,'様式11-5'!$R$92:$R$99))+Z15*SUMIF('様式11-5'!$G$92:$G$99,'様式11-6⑥'!$Y$1,'様式11-5'!$T$92:$T$99)</f>
        <v>0</v>
      </c>
      <c r="AA17" s="825"/>
      <c r="AB17" s="824">
        <f>IF(AB13="-",0,AB13*SUMIF('様式11-5'!$G$92:$G$99,'様式11-6⑥'!$Y$1,'様式11-5'!$R$92:$R$99))+AB15*SUMIF('様式11-5'!$G$92:$G$99,'様式11-6⑥'!$Y$1,'様式11-5'!$T$92:$T$99)</f>
        <v>0</v>
      </c>
      <c r="AC17" s="826"/>
      <c r="AD17" s="827">
        <f>IF(AD13="-",0,AD13*SUMIF('様式11-5'!$G$92:$G$99,'様式11-6⑥'!$Y$1,'様式11-5'!$R$92:$R$99))+AD15*SUMIF('様式11-5'!$G$92:$G$99,'様式11-6⑥'!$Y$1,'様式11-5'!$T$92:$T$99)</f>
        <v>0</v>
      </c>
      <c r="AE17" s="769"/>
      <c r="AF17" s="827">
        <f>IF(AF13="-",0,AF13*SUMIF('様式11-5'!$G$92:$G$99,'様式11-6⑥'!$Y$1,'様式11-5'!$Q$92:$Q$99))+AF15*SUMIF('様式11-5'!$G$92:$G$99,'様式11-6⑥'!$Y$1,'様式11-5'!$T$92:$T$99)</f>
        <v>0</v>
      </c>
      <c r="AG17" s="769"/>
      <c r="AH17" s="828">
        <f>SUM(J17:AG17)</f>
        <v>0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150</v>
      </c>
      <c r="K18" s="788"/>
      <c r="L18" s="772">
        <f>IF(L9="-",0,L9*SUMIF('様式11-5'!$G$100:$G$107,'様式11-6⑥'!$Y$1,'様式11-5'!$R$100:$R$107))+L14*SUMIF('様式11-5'!$G$100:$G$107,'様式11-6⑥'!$Y$1,'様式11-5'!$T$100:$T$107)</f>
        <v>0</v>
      </c>
      <c r="M18" s="772"/>
      <c r="N18" s="772">
        <f>IF(N9="-",0,N9*SUMIF('様式11-5'!$G$100:$G$107,'様式11-6⑥'!$Y$1,'様式11-5'!$R$100:$R$107))+N14*SUMIF('様式11-5'!$G$100:$G$107,'様式11-6⑥'!$Y$1,'様式11-5'!$T$100:$T$107)</f>
        <v>0</v>
      </c>
      <c r="O18" s="772"/>
      <c r="P18" s="789">
        <f>IF(P9="-",0,P9*SUMIF('様式11-5'!$G$100:$G$107,'様式11-6⑥'!$Y$1,'様式11-5'!$R$100:$R$107))+P14*SUMIF('様式11-5'!$G$100:$G$107,'様式11-6⑥'!$Y$1,'様式11-5'!$T$100:$T$107)</f>
        <v>0</v>
      </c>
      <c r="Q18" s="789"/>
      <c r="R18" s="791" t="s">
        <v>150</v>
      </c>
      <c r="S18" s="772"/>
      <c r="T18" s="772" t="s">
        <v>150</v>
      </c>
      <c r="U18" s="792"/>
      <c r="V18" s="791" t="s">
        <v>150</v>
      </c>
      <c r="W18" s="772"/>
      <c r="X18" s="772" t="s">
        <v>150</v>
      </c>
      <c r="Y18" s="772"/>
      <c r="Z18" s="772" t="s">
        <v>150</v>
      </c>
      <c r="AA18" s="772"/>
      <c r="AB18" s="772" t="s">
        <v>150</v>
      </c>
      <c r="AC18" s="773"/>
      <c r="AD18" s="774" t="s">
        <v>150</v>
      </c>
      <c r="AE18" s="772"/>
      <c r="AF18" s="772" t="s">
        <v>150</v>
      </c>
      <c r="AG18" s="773"/>
      <c r="AH18" s="775">
        <f t="shared" si="0"/>
        <v>0</v>
      </c>
      <c r="AI18" s="755"/>
      <c r="AJ18" s="755">
        <f>SUM(AH18:AI19)</f>
        <v>0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IF(J10="-",0,J10*SUMIF('様式11-5'!$G$100:$G$107,'様式11-6⑥'!$Y$1,'様式11-5'!$R$100:$R$107))+J15*SUMIF('様式11-5'!$G$100:$G$107,'様式11-6⑥'!$Y$1,'様式11-5'!$T$100:$T$107)</f>
        <v>0</v>
      </c>
      <c r="K19" s="796"/>
      <c r="L19" s="797" t="s">
        <v>150</v>
      </c>
      <c r="M19" s="798"/>
      <c r="N19" s="797" t="s">
        <v>150</v>
      </c>
      <c r="O19" s="798"/>
      <c r="P19" s="797" t="s">
        <v>150</v>
      </c>
      <c r="Q19" s="799"/>
      <c r="R19" s="768">
        <f>IF(R10="-",0,R10*SUMIF('様式11-5'!$G$100:$G$107,'様式11-6⑥'!$Y$1,'様式11-5'!$R$100:$R$107))+R15*SUMIF('様式11-5'!$G$100:$G$107,'様式11-6⑥'!$Y$1,'様式11-5'!$T$100:$T$107)</f>
        <v>0</v>
      </c>
      <c r="S19" s="769"/>
      <c r="T19" s="814">
        <f>IF(T10="-",0,T10*SUMIF('様式11-5'!$G$100:$G$107,'様式11-6⑥'!$Y$1,'様式11-5'!$R$100:$R$107))+T15*SUMIF('様式11-5'!$G$100:$G$107,'様式11-6⑥'!$Y$1,'様式11-5'!$T$100:$T$107)</f>
        <v>0</v>
      </c>
      <c r="U19" s="831"/>
      <c r="V19" s="832">
        <f>IF(V10="-",0,V10*SUMIF('様式11-5'!$G$100:$G$107,'様式11-6⑥'!$Y$1,'様式11-5'!$R$100:$R$107))+V15*SUMIF('様式11-5'!$G$100:$G$107,'様式11-6⑥'!$Y$1,'様式11-5'!$T$100:$T$107)</f>
        <v>0</v>
      </c>
      <c r="W19" s="825"/>
      <c r="X19" s="824">
        <f>IF(X10="-",0,X10*SUMIF('様式11-5'!$G$100:$G$107,'様式11-6⑥'!$Y$1,'様式11-5'!$R$100:$R$107))+X15*SUMIF('様式11-5'!$G$100:$G$107,'様式11-6⑥'!$Y$1,'様式11-5'!$T$100:$T$107)</f>
        <v>0</v>
      </c>
      <c r="Y19" s="825"/>
      <c r="Z19" s="824">
        <f>IF(Z10="-",0,Z10*SUMIF('様式11-5'!$G$100:$G$107,'様式11-6⑥'!$Y$1,'様式11-5'!$R$100:$R$107))+Z15*SUMIF('様式11-5'!$G$100:$G$107,'様式11-6⑥'!$Y$1,'様式11-5'!$T$100:$T$107)</f>
        <v>0</v>
      </c>
      <c r="AA19" s="825"/>
      <c r="AB19" s="824">
        <f>IF(AB10="-",0,AB10*SUMIF('様式11-5'!$G$100:$G$107,'様式11-6⑥'!$Y$1,'様式11-5'!$R$100:$R$107))+AB15*SUMIF('様式11-5'!$G$100:$G$107,'様式11-6⑥'!$Y$1,'様式11-5'!$T$100:$T$107)</f>
        <v>0</v>
      </c>
      <c r="AC19" s="826"/>
      <c r="AD19" s="827">
        <f>IF(AD10="-",0,AD10*SUMIF('様式11-5'!$G$100:$G$107,'様式11-6⑥'!$Y$1,'様式11-5'!$R$100:$R$107))+AD15*SUMIF('様式11-5'!$G$100:$G$107,'様式11-6⑥'!$Y$1,'様式11-5'!$T$100:$T$107)</f>
        <v>0</v>
      </c>
      <c r="AE19" s="769"/>
      <c r="AF19" s="827">
        <f>IF(AF10="-",0,AF10*SUMIF('様式11-5'!$G$100:$G$107,'様式11-6⑥'!$Y$1,'様式11-5'!$R$100:$R$107))+AF15*SUMIF('様式11-5'!$G$100:$G$107,'様式11-6⑥'!$Y$1,'様式11-5'!$T$100:$T$107)</f>
        <v>0</v>
      </c>
      <c r="AG19" s="769"/>
      <c r="AH19" s="828">
        <f t="shared" si="0"/>
        <v>0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150</v>
      </c>
      <c r="K20" s="788"/>
      <c r="L20" s="789">
        <f>IF(L9="-",0,L9*SUMIF('様式11-5'!$G$108:$G$115,'様式11-6⑥'!$Y$1,'様式11-5'!$Q$108:$Q$115))+L14*SUMIF('様式11-5'!$G$108:$G$115,'様式11-6⑥'!$Y$1,'様式11-5'!$T$108:$T$115)</f>
        <v>0</v>
      </c>
      <c r="M20" s="790"/>
      <c r="N20" s="789">
        <f>IF(N9="-",0,N9*SUMIF('様式11-5'!$G$108:$G$115,'様式11-6⑥'!$Y$1,'様式11-5'!$Q$108:$Q$115))+N14*SUMIF('様式11-5'!$G$108:$G$115,'様式11-6⑥'!$Y$1,'様式11-5'!$T$108:$T$115)</f>
        <v>0</v>
      </c>
      <c r="O20" s="790"/>
      <c r="P20" s="789">
        <f>IF(P9="-",0,P9*SUMIF('様式11-5'!$G$108:$G$115,'様式11-6⑥'!$Y$1,'様式11-5'!$Q$108:$Q$115))+P14*SUMIF('様式11-5'!$G$108:$G$115,'様式11-6⑥'!$Y$1,'様式11-5'!$T$108:$T$115)</f>
        <v>0</v>
      </c>
      <c r="Q20" s="789"/>
      <c r="R20" s="791" t="s">
        <v>150</v>
      </c>
      <c r="S20" s="772"/>
      <c r="T20" s="772" t="s">
        <v>150</v>
      </c>
      <c r="U20" s="792"/>
      <c r="V20" s="791" t="s">
        <v>150</v>
      </c>
      <c r="W20" s="772"/>
      <c r="X20" s="772" t="s">
        <v>150</v>
      </c>
      <c r="Y20" s="772"/>
      <c r="Z20" s="772" t="s">
        <v>150</v>
      </c>
      <c r="AA20" s="772"/>
      <c r="AB20" s="772" t="s">
        <v>150</v>
      </c>
      <c r="AC20" s="773"/>
      <c r="AD20" s="774" t="s">
        <v>150</v>
      </c>
      <c r="AE20" s="772"/>
      <c r="AF20" s="772" t="s">
        <v>150</v>
      </c>
      <c r="AG20" s="773"/>
      <c r="AH20" s="775">
        <f t="shared" si="0"/>
        <v>0</v>
      </c>
      <c r="AI20" s="755"/>
      <c r="AJ20" s="755">
        <f>SUM(AH20:AI21)</f>
        <v>0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IF(J10="-",0,J10*SUMIF('様式11-5'!$G$108:$G$115,'様式11-6⑥'!$Y$1,'様式11-5'!$Q$108:$Q$115))+J15*SUMIF('様式11-5'!$G$108:$G$115,'様式11-6⑥'!$Y$1,'様式11-5'!$T$108:$T$115)</f>
        <v>0</v>
      </c>
      <c r="K21" s="764"/>
      <c r="L21" s="765" t="s">
        <v>150</v>
      </c>
      <c r="M21" s="766"/>
      <c r="N21" s="765" t="s">
        <v>150</v>
      </c>
      <c r="O21" s="766"/>
      <c r="P21" s="765" t="s">
        <v>150</v>
      </c>
      <c r="Q21" s="767"/>
      <c r="R21" s="768">
        <f>IF(R10="-",0,R10*SUMIF('様式11-5'!$G$108:$G$115,'様式11-6⑥'!$Y$1,'様式11-5'!$Q$108:$Q$115))+R15*SUMIF('様式11-5'!$G$108:$G$115,'様式11-6⑥'!$Y$1,'様式11-5'!$T$108:$T$115)</f>
        <v>0</v>
      </c>
      <c r="S21" s="769"/>
      <c r="T21" s="720">
        <f>IF(T10="-",0,T10*SUMIF('様式11-5'!$G$108:$G$115,'様式11-6⑥'!$Y$1,'様式11-5'!$R$108:$R$115))+T15*SUMIF('様式11-5'!$G$108:$G$115,'様式11-6⑥'!$Y$1,'様式11-5'!$T$108:$T$115)</f>
        <v>0</v>
      </c>
      <c r="U21" s="722"/>
      <c r="V21" s="770">
        <f>IF(V10="-",0,V10*SUMIF('様式11-5'!$G$108:$G$115,'様式11-6⑥'!$Y$1,'様式11-5'!$R$108:$R$115))+V15*SUMIF('様式11-5'!$G$108:$G$115,'様式11-6⑥'!$Y$1,'様式11-5'!$T$108:$T$115)</f>
        <v>0</v>
      </c>
      <c r="W21" s="771"/>
      <c r="X21" s="748">
        <f>IF(X10="-",0,X10*SUMIF('様式11-5'!$G$108:$G$115,'様式11-6⑥'!$Y$1,'様式11-5'!$R$108:$R$115))+X15*SUMIF('様式11-5'!$G$108:$G$115,'様式11-6⑥'!$Y$1,'様式11-5'!$T$108:$T$115)</f>
        <v>0</v>
      </c>
      <c r="Y21" s="749"/>
      <c r="Z21" s="748">
        <f>IF(Z10="-",0,Z10*SUMIF('様式11-5'!$G$108:$G$115,'様式11-6⑥'!$Y$1,'様式11-5'!$R$108:$R$115))+Z15*SUMIF('様式11-5'!$G$108:$G$115,'様式11-6⑥'!$Y$1,'様式11-5'!$T$108:$T$115)</f>
        <v>0</v>
      </c>
      <c r="AA21" s="749"/>
      <c r="AB21" s="748">
        <f>IF(AB10="-",0,AB10*SUMIF('様式11-5'!$G$108:$G$115,'様式11-6⑥'!$Y$1,'様式11-5'!$R$108:$R$115))+AB15*SUMIF('様式11-5'!$G$108:$G$115,'様式11-6⑥'!$Y$1,'様式11-5'!$T$108:$T$115)</f>
        <v>0</v>
      </c>
      <c r="AC21" s="750"/>
      <c r="AD21" s="751">
        <f>IF(AD10="-",0,AD10*SUMIF('様式11-5'!$G$108:$G$115,'様式11-6⑥'!$Y$1,'様式11-5'!$R$108:$R$115))+AD15*SUMIF('様式11-5'!$G$108:$G$115,'様式11-6⑥'!$Y$1,'様式11-5'!$T$108:$T$115)</f>
        <v>0</v>
      </c>
      <c r="AE21" s="752"/>
      <c r="AF21" s="751">
        <f>IF(AF10="-",0,AF10*SUMIF('様式11-5'!$G$108:$G$115,'様式11-6⑥'!$Y$1,'様式11-5'!$Q$108:$Q$115))+AF15*SUMIF('様式11-5'!$G$108:$G$115,'様式11-6⑥'!$Y$1,'様式11-5'!$T$108:$T$115)</f>
        <v>0</v>
      </c>
      <c r="AG21" s="752"/>
      <c r="AH21" s="753">
        <f t="shared" si="0"/>
        <v>0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IF(J13="-",0,J13*SUMIF('様式11-5'!$G$92:$G$99,'様式11-6⑥'!$Y$1,'様式11-5'!$X$92:$X$99))</f>
        <v>0</v>
      </c>
      <c r="K22" s="807"/>
      <c r="L22" s="808">
        <f>IF(L12="-",0,L12*SUMIF('様式11-5'!$G$92:$G$99,'様式11-6⑥'!$Y$1,'様式11-5'!$X$92:$X$99))</f>
        <v>0</v>
      </c>
      <c r="M22" s="809"/>
      <c r="N22" s="810">
        <f>IF(N12="-",0,N12*SUMIF('様式11-5'!$G$92:$G$99,'様式11-6⑥'!$Y$1,'様式11-5'!$X$92:$X$99))</f>
        <v>0</v>
      </c>
      <c r="O22" s="810"/>
      <c r="P22" s="808">
        <f>IF(P12="-",0,P12*SUMIF('様式11-5'!$G$92:$G$99,'様式11-6⑥'!$Y$1,'様式11-5'!$X$92:$X$99))</f>
        <v>0</v>
      </c>
      <c r="Q22" s="811"/>
      <c r="R22" s="812">
        <f>IF(R13="-",0,R13*SUMIF('様式11-5'!$G$92:$G$99,'様式11-6⑥'!$Y$1,'様式11-5'!$X$92:$X$99))</f>
        <v>0</v>
      </c>
      <c r="S22" s="743"/>
      <c r="T22" s="743">
        <f>IF(T13="-",0,T13*SUMIF('様式11-5'!$G$92:$G$99,'様式11-6⑥'!$Y$1,'様式11-5'!$X$92:$X$99))</f>
        <v>0</v>
      </c>
      <c r="U22" s="813"/>
      <c r="V22" s="812" t="s">
        <v>150</v>
      </c>
      <c r="W22" s="743"/>
      <c r="X22" s="743" t="s">
        <v>150</v>
      </c>
      <c r="Y22" s="743"/>
      <c r="Z22" s="743" t="s">
        <v>150</v>
      </c>
      <c r="AA22" s="743"/>
      <c r="AB22" s="743" t="s">
        <v>150</v>
      </c>
      <c r="AC22" s="744"/>
      <c r="AD22" s="745">
        <f>IF(AD13="-",0,AD13*SUMIF('様式11-5'!$G$92:$G$99,'様式11-6⑥'!$Y$1,'様式11-5'!$Y$92:$Y$99))</f>
        <v>0</v>
      </c>
      <c r="AE22" s="743"/>
      <c r="AF22" s="743">
        <f>IF(AF13="-",0,AF13*SUMIF('様式11-5'!$G$92:$G$99,'様式11-6⑥'!$Y$1,'様式11-5'!$X$92:$X$99))</f>
        <v>0</v>
      </c>
      <c r="AG22" s="744"/>
      <c r="AH22" s="746">
        <f>SUM(J22:AG22)</f>
        <v>0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150</v>
      </c>
      <c r="K23" s="737"/>
      <c r="L23" s="737" t="s">
        <v>150</v>
      </c>
      <c r="M23" s="737"/>
      <c r="N23" s="737" t="s">
        <v>150</v>
      </c>
      <c r="O23" s="737"/>
      <c r="P23" s="737" t="s">
        <v>150</v>
      </c>
      <c r="Q23" s="738"/>
      <c r="R23" s="739" t="s">
        <v>150</v>
      </c>
      <c r="S23" s="724"/>
      <c r="T23" s="724" t="s">
        <v>150</v>
      </c>
      <c r="U23" s="740"/>
      <c r="V23" s="741">
        <f>IF(V13="-",0,V13*SUMIF('様式11-5'!$G$92:$G$99,'様式11-6⑥'!$Y$1,'様式11-5'!$Y$92:$Y$99))</f>
        <v>0</v>
      </c>
      <c r="W23" s="742"/>
      <c r="X23" s="720">
        <f>IF(X13="-",0,X13*SUMIF('様式11-5'!$G$92:$G$99,'様式11-6⑥'!$Y$1,'様式11-5'!$Y$92:$Y$99))</f>
        <v>0</v>
      </c>
      <c r="Y23" s="721"/>
      <c r="Z23" s="720">
        <f>IF(Z13="-",0,Z13*SUMIF('様式11-5'!$G$92:$G$99,'様式11-6⑥'!$Y$1,'様式11-5'!$Y$92:$Y$99))</f>
        <v>0</v>
      </c>
      <c r="AA23" s="721"/>
      <c r="AB23" s="720">
        <f>IF(AB13="-",0,AB13*SUMIF('様式11-5'!$G$92:$G$99,'様式11-6⑥'!$Y$1,'様式11-5'!$Y$92:$Y$99))</f>
        <v>0</v>
      </c>
      <c r="AC23" s="722"/>
      <c r="AD23" s="723" t="s">
        <v>150</v>
      </c>
      <c r="AE23" s="724"/>
      <c r="AF23" s="724" t="s">
        <v>150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0</v>
      </c>
      <c r="S27" s="548"/>
      <c r="T27" s="28" t="s">
        <v>71</v>
      </c>
      <c r="U27" s="28"/>
      <c r="V27" s="28"/>
      <c r="W27" s="549">
        <f>SUMIF('様式11-5'!$G$92:$G$99,'様式11-6⑥'!$Y$1,'様式11-5'!$Q$92:$Q$99)+SUMIF('様式11-5'!$G$100:$G$107,'様式11-6⑥'!$Y$1,'様式11-5'!$R$100:$R$107)+SUMIF('様式11-5'!$G$108:$G$115,'様式11-6⑥'!$Y$1,'様式11-5'!$Q$108:$Q$115)</f>
        <v>0</v>
      </c>
      <c r="X27" s="549"/>
      <c r="Y27" s="28" t="s">
        <v>70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0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72</v>
      </c>
      <c r="AQ27" s="662"/>
      <c r="AR27" s="663">
        <f>AN27*AB30/1000</f>
        <v>0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62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0</v>
      </c>
      <c r="AC28" s="702"/>
      <c r="AD28" s="24" t="s">
        <v>63</v>
      </c>
      <c r="AE28" s="24"/>
      <c r="AF28" s="24"/>
      <c r="AG28" s="152"/>
      <c r="AH28" s="648">
        <f>(S28+U28+W28)*AB28</f>
        <v>0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273"/>
      <c r="J29" s="269"/>
      <c r="K29" s="269"/>
      <c r="L29" s="271"/>
      <c r="M29" s="271"/>
      <c r="N29" s="271"/>
      <c r="O29" s="271"/>
      <c r="P29" s="271"/>
      <c r="Q29" s="272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70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54"/>
      <c r="S30" s="254"/>
      <c r="T30" s="25"/>
      <c r="U30" s="25"/>
      <c r="V30" s="25"/>
      <c r="W30" s="165"/>
      <c r="X30" s="260"/>
      <c r="Y30" s="260"/>
      <c r="Z30" s="167"/>
      <c r="AA30" s="168"/>
      <c r="AB30" s="711">
        <f>SUM(AB28:AC28)</f>
        <v>0</v>
      </c>
      <c r="AC30" s="711"/>
      <c r="AD30" s="169" t="s">
        <v>57</v>
      </c>
      <c r="AE30" s="25"/>
      <c r="AF30" s="25"/>
      <c r="AG30" s="25"/>
      <c r="AH30" s="712">
        <f>SUM(AH27:AK28)</f>
        <v>0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111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251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45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111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110</v>
      </c>
      <c r="W32" s="173">
        <f>料金単価!$F$7</f>
        <v>14.55</v>
      </c>
      <c r="X32" s="258" t="s">
        <v>112</v>
      </c>
      <c r="Y32" s="259" t="s">
        <v>113</v>
      </c>
      <c r="Z32" s="719">
        <f>IF('様式11-5'!U$1="LPG",0,J$22)</f>
        <v>0</v>
      </c>
      <c r="AA32" s="719"/>
      <c r="AB32" s="23" t="s">
        <v>46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54"/>
      <c r="S33" s="254"/>
      <c r="T33" s="25"/>
      <c r="U33" s="25"/>
      <c r="V33" s="25"/>
      <c r="W33" s="165"/>
      <c r="X33" s="260"/>
      <c r="Y33" s="260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52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251" t="s">
        <v>51</v>
      </c>
      <c r="AD34" s="28"/>
      <c r="AE34" s="28"/>
      <c r="AF34" s="28"/>
      <c r="AG34" s="28"/>
      <c r="AH34" s="640">
        <f>IF(AH22+AH23=0,0,R34*AB34)</f>
        <v>0</v>
      </c>
      <c r="AI34" s="641"/>
      <c r="AJ34" s="641"/>
      <c r="AK34" s="642"/>
      <c r="AL34" s="617" t="s">
        <v>52</v>
      </c>
      <c r="AM34" s="618"/>
      <c r="AN34" s="594">
        <v>6</v>
      </c>
      <c r="AO34" s="595"/>
      <c r="AP34" s="613" t="s">
        <v>45</v>
      </c>
      <c r="AQ34" s="614"/>
      <c r="AR34" s="625">
        <f>AN34*X36/1000</f>
        <v>0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0</v>
      </c>
      <c r="Y35" s="644"/>
      <c r="Z35" s="23" t="s">
        <v>46</v>
      </c>
      <c r="AA35" s="23"/>
      <c r="AB35" s="23"/>
      <c r="AC35" s="24"/>
      <c r="AD35" s="23"/>
      <c r="AE35" s="23"/>
      <c r="AF35" s="23"/>
      <c r="AG35" s="23"/>
      <c r="AH35" s="558">
        <f>R35*X35</f>
        <v>0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54"/>
      <c r="S36" s="254"/>
      <c r="T36" s="25"/>
      <c r="U36" s="25"/>
      <c r="V36" s="25"/>
      <c r="W36" s="165"/>
      <c r="X36" s="716">
        <f>SUM(X35:Y35)</f>
        <v>0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0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0</v>
      </c>
      <c r="S38" s="548"/>
      <c r="T38" s="28" t="s">
        <v>71</v>
      </c>
      <c r="U38" s="28"/>
      <c r="V38" s="28"/>
      <c r="W38" s="549">
        <f>$W$27</f>
        <v>0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0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72</v>
      </c>
      <c r="AQ38" s="662"/>
      <c r="AR38" s="663">
        <f>AN38*AB41/1000</f>
        <v>0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62</v>
      </c>
      <c r="U39" s="149">
        <f>$U$28</f>
        <v>7.29</v>
      </c>
      <c r="V39" s="148" t="s">
        <v>62</v>
      </c>
      <c r="W39" s="150">
        <f>$W$28</f>
        <v>3.45</v>
      </c>
      <c r="X39" s="151" t="s">
        <v>64</v>
      </c>
      <c r="Y39" s="24" t="s">
        <v>61</v>
      </c>
      <c r="Z39" s="151"/>
      <c r="AA39" s="32"/>
      <c r="AB39" s="702">
        <f>L$16+L$18+L$20</f>
        <v>0</v>
      </c>
      <c r="AC39" s="702"/>
      <c r="AD39" s="24" t="s">
        <v>63</v>
      </c>
      <c r="AE39" s="24"/>
      <c r="AF39" s="24"/>
      <c r="AG39" s="152"/>
      <c r="AH39" s="648">
        <f>(S39+U39+W39)*AB39</f>
        <v>0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255"/>
      <c r="J40" s="252"/>
      <c r="K40" s="252"/>
      <c r="L40" s="259"/>
      <c r="M40" s="259"/>
      <c r="N40" s="259"/>
      <c r="O40" s="259"/>
      <c r="P40" s="259"/>
      <c r="Q40" s="2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253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54"/>
      <c r="S41" s="254"/>
      <c r="T41" s="25"/>
      <c r="U41" s="25"/>
      <c r="V41" s="25"/>
      <c r="W41" s="165"/>
      <c r="X41" s="260"/>
      <c r="Y41" s="260"/>
      <c r="Z41" s="167"/>
      <c r="AA41" s="168"/>
      <c r="AB41" s="711">
        <f>SUM(AB39:AC39)</f>
        <v>0</v>
      </c>
      <c r="AC41" s="711"/>
      <c r="AD41" s="169" t="s">
        <v>57</v>
      </c>
      <c r="AE41" s="25"/>
      <c r="AF41" s="25"/>
      <c r="AG41" s="25"/>
      <c r="AH41" s="712">
        <f>SUM(AH38:AK39)</f>
        <v>0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111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251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45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132.49</v>
      </c>
      <c r="T43" s="556"/>
      <c r="U43" s="23" t="s">
        <v>48</v>
      </c>
      <c r="V43" s="172" t="s">
        <v>110</v>
      </c>
      <c r="W43" s="173">
        <f>W32</f>
        <v>14.55</v>
      </c>
      <c r="X43" s="258" t="s">
        <v>112</v>
      </c>
      <c r="Y43" s="259" t="s">
        <v>113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54"/>
      <c r="S44" s="254"/>
      <c r="T44" s="25"/>
      <c r="U44" s="25"/>
      <c r="V44" s="25"/>
      <c r="W44" s="165"/>
      <c r="X44" s="260"/>
      <c r="Y44" s="260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52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251" t="s">
        <v>51</v>
      </c>
      <c r="AD45" s="28"/>
      <c r="AE45" s="28"/>
      <c r="AF45" s="28"/>
      <c r="AG45" s="28"/>
      <c r="AH45" s="640">
        <f>IF(AH33+AH34=0,0,R45*AB45)</f>
        <v>0</v>
      </c>
      <c r="AI45" s="641"/>
      <c r="AJ45" s="641"/>
      <c r="AK45" s="642"/>
      <c r="AL45" s="617" t="s">
        <v>52</v>
      </c>
      <c r="AM45" s="618"/>
      <c r="AN45" s="594">
        <f>AN34</f>
        <v>6</v>
      </c>
      <c r="AO45" s="595"/>
      <c r="AP45" s="613" t="s">
        <v>45</v>
      </c>
      <c r="AQ45" s="614"/>
      <c r="AR45" s="625">
        <f>AN45*X47/1000</f>
        <v>0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0</v>
      </c>
      <c r="Y46" s="644"/>
      <c r="Z46" s="23" t="s">
        <v>46</v>
      </c>
      <c r="AA46" s="23"/>
      <c r="AB46" s="23"/>
      <c r="AC46" s="24"/>
      <c r="AD46" s="23"/>
      <c r="AE46" s="23"/>
      <c r="AF46" s="23"/>
      <c r="AG46" s="23"/>
      <c r="AH46" s="558">
        <f>R46*X46</f>
        <v>0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54"/>
      <c r="S47" s="254"/>
      <c r="T47" s="25"/>
      <c r="U47" s="25"/>
      <c r="V47" s="25"/>
      <c r="W47" s="165"/>
      <c r="X47" s="716">
        <f>SUM(X46:Y46)</f>
        <v>0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0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0</v>
      </c>
      <c r="S49" s="548"/>
      <c r="T49" s="28" t="s">
        <v>71</v>
      </c>
      <c r="U49" s="28"/>
      <c r="V49" s="28"/>
      <c r="W49" s="549">
        <f>$W$27</f>
        <v>0</v>
      </c>
      <c r="X49" s="549"/>
      <c r="Y49" s="28" t="s">
        <v>70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0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72</v>
      </c>
      <c r="AQ49" s="662"/>
      <c r="AR49" s="663">
        <f>AN49*AB52/1000</f>
        <v>0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62</v>
      </c>
      <c r="U50" s="149">
        <f>$U$28</f>
        <v>7.29</v>
      </c>
      <c r="V50" s="148" t="s">
        <v>62</v>
      </c>
      <c r="W50" s="150">
        <f>$W$28</f>
        <v>3.45</v>
      </c>
      <c r="X50" s="151" t="s">
        <v>64</v>
      </c>
      <c r="Y50" s="24" t="s">
        <v>61</v>
      </c>
      <c r="Z50" s="151"/>
      <c r="AA50" s="32"/>
      <c r="AB50" s="702">
        <f>N$16+N$18+N$20</f>
        <v>0</v>
      </c>
      <c r="AC50" s="702"/>
      <c r="AD50" s="24" t="s">
        <v>63</v>
      </c>
      <c r="AE50" s="24"/>
      <c r="AF50" s="24"/>
      <c r="AG50" s="152"/>
      <c r="AH50" s="648">
        <f>(S50+U50+W50)*AB50</f>
        <v>0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255"/>
      <c r="J51" s="252"/>
      <c r="K51" s="252"/>
      <c r="L51" s="259"/>
      <c r="M51" s="259"/>
      <c r="N51" s="259"/>
      <c r="O51" s="259"/>
      <c r="P51" s="259"/>
      <c r="Q51" s="2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253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54"/>
      <c r="S52" s="254"/>
      <c r="T52" s="25"/>
      <c r="U52" s="25"/>
      <c r="V52" s="25"/>
      <c r="W52" s="165"/>
      <c r="X52" s="260"/>
      <c r="Y52" s="260"/>
      <c r="Z52" s="167"/>
      <c r="AA52" s="168"/>
      <c r="AB52" s="711">
        <f>SUM(AB50:AC50)</f>
        <v>0</v>
      </c>
      <c r="AC52" s="711"/>
      <c r="AD52" s="169" t="s">
        <v>57</v>
      </c>
      <c r="AE52" s="25"/>
      <c r="AF52" s="25"/>
      <c r="AG52" s="25"/>
      <c r="AH52" s="712">
        <f>SUM(AH49:AK50)</f>
        <v>0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111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251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45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111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132.49</v>
      </c>
      <c r="T54" s="556"/>
      <c r="U54" s="23" t="s">
        <v>48</v>
      </c>
      <c r="V54" s="172" t="s">
        <v>110</v>
      </c>
      <c r="W54" s="173">
        <f>W43</f>
        <v>14.55</v>
      </c>
      <c r="X54" s="258" t="s">
        <v>112</v>
      </c>
      <c r="Y54" s="259" t="s">
        <v>113</v>
      </c>
      <c r="Z54" s="665">
        <f>IF('様式11-5'!U$1="LPG",0,N$22)</f>
        <v>0</v>
      </c>
      <c r="AA54" s="665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54"/>
      <c r="S55" s="254"/>
      <c r="T55" s="25"/>
      <c r="U55" s="25"/>
      <c r="V55" s="25"/>
      <c r="W55" s="165"/>
      <c r="X55" s="260"/>
      <c r="Y55" s="260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52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251" t="s">
        <v>51</v>
      </c>
      <c r="AD56" s="28"/>
      <c r="AE56" s="28"/>
      <c r="AF56" s="28"/>
      <c r="AG56" s="28"/>
      <c r="AH56" s="640">
        <f>IF(AH44+AH45=0,0,R56*AB56)</f>
        <v>0</v>
      </c>
      <c r="AI56" s="641"/>
      <c r="AJ56" s="641"/>
      <c r="AK56" s="642"/>
      <c r="AL56" s="617" t="s">
        <v>52</v>
      </c>
      <c r="AM56" s="618"/>
      <c r="AN56" s="594">
        <f>AN45</f>
        <v>6</v>
      </c>
      <c r="AO56" s="595"/>
      <c r="AP56" s="613" t="s">
        <v>45</v>
      </c>
      <c r="AQ56" s="614"/>
      <c r="AR56" s="625">
        <f>AN56*X58/1000</f>
        <v>0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0</v>
      </c>
      <c r="Y57" s="644"/>
      <c r="Z57" s="23" t="s">
        <v>46</v>
      </c>
      <c r="AA57" s="23"/>
      <c r="AB57" s="23"/>
      <c r="AC57" s="24"/>
      <c r="AD57" s="23"/>
      <c r="AE57" s="23"/>
      <c r="AF57" s="23"/>
      <c r="AG57" s="23"/>
      <c r="AH57" s="558">
        <f>R57*X57</f>
        <v>0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54"/>
      <c r="S58" s="254"/>
      <c r="T58" s="25"/>
      <c r="U58" s="25"/>
      <c r="V58" s="25"/>
      <c r="W58" s="165"/>
      <c r="X58" s="716">
        <f>SUM(X57:Y57)</f>
        <v>0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0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0</v>
      </c>
      <c r="S60" s="548"/>
      <c r="T60" s="28" t="s">
        <v>71</v>
      </c>
      <c r="U60" s="28"/>
      <c r="V60" s="28"/>
      <c r="W60" s="549">
        <f>$W$27</f>
        <v>0</v>
      </c>
      <c r="X60" s="549"/>
      <c r="Y60" s="28" t="s">
        <v>70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0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72</v>
      </c>
      <c r="AQ60" s="662"/>
      <c r="AR60" s="663">
        <f>AN60*AB63/1000</f>
        <v>0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62</v>
      </c>
      <c r="U61" s="149">
        <f>$U$28</f>
        <v>7.29</v>
      </c>
      <c r="V61" s="148" t="s">
        <v>62</v>
      </c>
      <c r="W61" s="150">
        <f>$W$28</f>
        <v>3.45</v>
      </c>
      <c r="X61" s="151" t="s">
        <v>64</v>
      </c>
      <c r="Y61" s="24" t="s">
        <v>61</v>
      </c>
      <c r="Z61" s="151"/>
      <c r="AA61" s="32"/>
      <c r="AB61" s="702">
        <f>P$16+P$18+P$20</f>
        <v>0</v>
      </c>
      <c r="AC61" s="702"/>
      <c r="AD61" s="24" t="s">
        <v>63</v>
      </c>
      <c r="AE61" s="24"/>
      <c r="AF61" s="24"/>
      <c r="AG61" s="152"/>
      <c r="AH61" s="648">
        <f>(S61+U61+W61)*AB61</f>
        <v>0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255"/>
      <c r="J62" s="252"/>
      <c r="K62" s="252"/>
      <c r="L62" s="259"/>
      <c r="M62" s="259"/>
      <c r="N62" s="259"/>
      <c r="O62" s="259"/>
      <c r="P62" s="259"/>
      <c r="Q62" s="2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253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54"/>
      <c r="S63" s="254"/>
      <c r="T63" s="25"/>
      <c r="U63" s="25"/>
      <c r="V63" s="25"/>
      <c r="W63" s="165"/>
      <c r="X63" s="260"/>
      <c r="Y63" s="260"/>
      <c r="Z63" s="167"/>
      <c r="AA63" s="168"/>
      <c r="AB63" s="711">
        <f>SUM(AB61:AC61)</f>
        <v>0</v>
      </c>
      <c r="AC63" s="711"/>
      <c r="AD63" s="169" t="s">
        <v>57</v>
      </c>
      <c r="AE63" s="25"/>
      <c r="AF63" s="25"/>
      <c r="AG63" s="25"/>
      <c r="AH63" s="712">
        <f>SUM(AH60:AK61)</f>
        <v>0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111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251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45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111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110</v>
      </c>
      <c r="W65" s="173">
        <f>W54</f>
        <v>14.55</v>
      </c>
      <c r="X65" s="258" t="s">
        <v>112</v>
      </c>
      <c r="Y65" s="259" t="s">
        <v>113</v>
      </c>
      <c r="Z65" s="719">
        <f>IF('様式11-5'!U$1="LPG",0,P$22)</f>
        <v>0</v>
      </c>
      <c r="AA65" s="719"/>
      <c r="AB65" s="23" t="s">
        <v>46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54"/>
      <c r="S66" s="254"/>
      <c r="T66" s="25"/>
      <c r="U66" s="25"/>
      <c r="V66" s="25"/>
      <c r="W66" s="165"/>
      <c r="X66" s="260"/>
      <c r="Y66" s="260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52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251" t="s">
        <v>51</v>
      </c>
      <c r="AD67" s="28"/>
      <c r="AE67" s="28"/>
      <c r="AF67" s="28"/>
      <c r="AG67" s="28"/>
      <c r="AH67" s="640">
        <f>IF(AH55+AH56=0,0,R67*AB67)</f>
        <v>0</v>
      </c>
      <c r="AI67" s="641"/>
      <c r="AJ67" s="641"/>
      <c r="AK67" s="642"/>
      <c r="AL67" s="617" t="s">
        <v>52</v>
      </c>
      <c r="AM67" s="618"/>
      <c r="AN67" s="594">
        <f>AN34</f>
        <v>6</v>
      </c>
      <c r="AO67" s="595"/>
      <c r="AP67" s="613" t="s">
        <v>45</v>
      </c>
      <c r="AQ67" s="614"/>
      <c r="AR67" s="625">
        <f>AN67*X69/1000</f>
        <v>0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0</v>
      </c>
      <c r="Y68" s="644"/>
      <c r="Z68" s="23" t="s">
        <v>46</v>
      </c>
      <c r="AA68" s="23"/>
      <c r="AB68" s="23"/>
      <c r="AC68" s="24"/>
      <c r="AD68" s="23"/>
      <c r="AE68" s="23"/>
      <c r="AF68" s="23"/>
      <c r="AG68" s="23"/>
      <c r="AH68" s="558">
        <f>R68*X68</f>
        <v>0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54"/>
      <c r="S69" s="254"/>
      <c r="T69" s="25"/>
      <c r="U69" s="25"/>
      <c r="V69" s="25"/>
      <c r="W69" s="165"/>
      <c r="X69" s="716">
        <f>SUM(X68:Y68)</f>
        <v>0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0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0</v>
      </c>
      <c r="S71" s="548"/>
      <c r="T71" s="28" t="s">
        <v>71</v>
      </c>
      <c r="U71" s="28"/>
      <c r="V71" s="28"/>
      <c r="W71" s="549">
        <f>$W$27</f>
        <v>0</v>
      </c>
      <c r="X71" s="549"/>
      <c r="Y71" s="28" t="s">
        <v>70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0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72</v>
      </c>
      <c r="AQ71" s="662"/>
      <c r="AR71" s="663">
        <f>AN71*AB74/1000</f>
        <v>0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157</v>
      </c>
      <c r="S72" s="33">
        <f>IF(P72="夏季",料金単価!$D$3,料金単価!$E$3)</f>
        <v>12.63</v>
      </c>
      <c r="T72" s="148" t="s">
        <v>62</v>
      </c>
      <c r="U72" s="149">
        <f>$U$28</f>
        <v>7.29</v>
      </c>
      <c r="V72" s="148" t="s">
        <v>62</v>
      </c>
      <c r="W72" s="150">
        <f>$W$28</f>
        <v>3.45</v>
      </c>
      <c r="X72" s="151" t="s">
        <v>64</v>
      </c>
      <c r="Y72" s="24" t="s">
        <v>61</v>
      </c>
      <c r="Z72" s="151"/>
      <c r="AA72" s="32"/>
      <c r="AB72" s="702">
        <f>R$17+R$19+R$21</f>
        <v>0</v>
      </c>
      <c r="AC72" s="702"/>
      <c r="AD72" s="24" t="s">
        <v>63</v>
      </c>
      <c r="AE72" s="24"/>
      <c r="AF72" s="24"/>
      <c r="AG72" s="152"/>
      <c r="AH72" s="648">
        <f>(S72+U72+W72)*AB72</f>
        <v>0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255"/>
      <c r="J73" s="252"/>
      <c r="K73" s="252"/>
      <c r="L73" s="259"/>
      <c r="M73" s="259"/>
      <c r="N73" s="259"/>
      <c r="O73" s="259"/>
      <c r="P73" s="259"/>
      <c r="Q73" s="2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253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54"/>
      <c r="S74" s="254"/>
      <c r="T74" s="25"/>
      <c r="U74" s="25"/>
      <c r="V74" s="25"/>
      <c r="W74" s="165"/>
      <c r="X74" s="260"/>
      <c r="Y74" s="260"/>
      <c r="Z74" s="167"/>
      <c r="AA74" s="168"/>
      <c r="AB74" s="711">
        <f>SUM(AB72:AC72)</f>
        <v>0</v>
      </c>
      <c r="AC74" s="711"/>
      <c r="AD74" s="169" t="s">
        <v>57</v>
      </c>
      <c r="AE74" s="25"/>
      <c r="AF74" s="25"/>
      <c r="AG74" s="25"/>
      <c r="AH74" s="712">
        <f>SUM(AH71:AK72)</f>
        <v>0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111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251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45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111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110</v>
      </c>
      <c r="W76" s="173">
        <f>W65</f>
        <v>14.55</v>
      </c>
      <c r="X76" s="258" t="s">
        <v>112</v>
      </c>
      <c r="Y76" s="259" t="s">
        <v>113</v>
      </c>
      <c r="Z76" s="665">
        <f>IF('様式11-5'!U$1="LPG",0,R$22)</f>
        <v>0</v>
      </c>
      <c r="AA76" s="665"/>
      <c r="AB76" s="23" t="s">
        <v>46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54"/>
      <c r="S77" s="254"/>
      <c r="T77" s="25"/>
      <c r="U77" s="25"/>
      <c r="V77" s="25"/>
      <c r="W77" s="165"/>
      <c r="X77" s="260"/>
      <c r="Y77" s="260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52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251" t="s">
        <v>51</v>
      </c>
      <c r="AD78" s="28"/>
      <c r="AE78" s="28"/>
      <c r="AF78" s="28"/>
      <c r="AG78" s="28"/>
      <c r="AH78" s="640">
        <f>IF(AH66+AH67=0,0,R78*AB78)</f>
        <v>0</v>
      </c>
      <c r="AI78" s="641"/>
      <c r="AJ78" s="641"/>
      <c r="AK78" s="642"/>
      <c r="AL78" s="617" t="s">
        <v>52</v>
      </c>
      <c r="AM78" s="618"/>
      <c r="AN78" s="594">
        <f>AN45</f>
        <v>6</v>
      </c>
      <c r="AO78" s="595"/>
      <c r="AP78" s="613" t="s">
        <v>45</v>
      </c>
      <c r="AQ78" s="614"/>
      <c r="AR78" s="625">
        <f>AN78*X80/1000</f>
        <v>0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0</v>
      </c>
      <c r="Y79" s="644"/>
      <c r="Z79" s="23" t="s">
        <v>46</v>
      </c>
      <c r="AA79" s="23"/>
      <c r="AB79" s="23"/>
      <c r="AC79" s="24"/>
      <c r="AD79" s="23"/>
      <c r="AE79" s="23"/>
      <c r="AF79" s="23"/>
      <c r="AG79" s="23"/>
      <c r="AH79" s="558">
        <f>R79*X79</f>
        <v>0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54"/>
      <c r="S80" s="254"/>
      <c r="T80" s="25"/>
      <c r="U80" s="25"/>
      <c r="V80" s="25"/>
      <c r="W80" s="165"/>
      <c r="X80" s="716">
        <f>SUM(X79:Y79)</f>
        <v>0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0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0</v>
      </c>
      <c r="S82" s="548"/>
      <c r="T82" s="28" t="s">
        <v>71</v>
      </c>
      <c r="U82" s="28"/>
      <c r="V82" s="28"/>
      <c r="W82" s="549">
        <f>$W$27</f>
        <v>0</v>
      </c>
      <c r="X82" s="549"/>
      <c r="Y82" s="28" t="s">
        <v>70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0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72</v>
      </c>
      <c r="AQ82" s="662"/>
      <c r="AR82" s="663">
        <f>AN82*AB85/1000</f>
        <v>0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197</v>
      </c>
      <c r="Q83" s="646"/>
      <c r="R83" s="34" t="s">
        <v>157</v>
      </c>
      <c r="S83" s="33">
        <f>IF(P83="夏季",料金単価!$D$3,料金単価!$E$3)</f>
        <v>12.63</v>
      </c>
      <c r="T83" s="148" t="s">
        <v>62</v>
      </c>
      <c r="U83" s="149">
        <f>$U$28</f>
        <v>7.29</v>
      </c>
      <c r="V83" s="148" t="s">
        <v>62</v>
      </c>
      <c r="W83" s="150">
        <f>$W$28</f>
        <v>3.45</v>
      </c>
      <c r="X83" s="151" t="s">
        <v>64</v>
      </c>
      <c r="Y83" s="24" t="s">
        <v>61</v>
      </c>
      <c r="Z83" s="151"/>
      <c r="AA83" s="32"/>
      <c r="AB83" s="702">
        <f>T$17+T$19+T$21</f>
        <v>0</v>
      </c>
      <c r="AC83" s="702"/>
      <c r="AD83" s="24" t="s">
        <v>63</v>
      </c>
      <c r="AE83" s="24"/>
      <c r="AF83" s="24"/>
      <c r="AG83" s="152"/>
      <c r="AH83" s="648">
        <f>(S83+U83+W83)*AB83</f>
        <v>0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255"/>
      <c r="J84" s="252"/>
      <c r="K84" s="252"/>
      <c r="L84" s="259"/>
      <c r="M84" s="259"/>
      <c r="N84" s="259"/>
      <c r="O84" s="259"/>
      <c r="P84" s="259"/>
      <c r="Q84" s="2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253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54"/>
      <c r="S85" s="254"/>
      <c r="T85" s="25"/>
      <c r="U85" s="25"/>
      <c r="V85" s="25"/>
      <c r="W85" s="165"/>
      <c r="X85" s="260"/>
      <c r="Y85" s="260"/>
      <c r="Z85" s="167"/>
      <c r="AA85" s="168"/>
      <c r="AB85" s="711">
        <f>SUM(AB83:AC83)</f>
        <v>0</v>
      </c>
      <c r="AC85" s="711"/>
      <c r="AD85" s="169" t="s">
        <v>57</v>
      </c>
      <c r="AE85" s="25"/>
      <c r="AF85" s="25"/>
      <c r="AG85" s="25"/>
      <c r="AH85" s="712">
        <f>SUM(AH82:AK83)</f>
        <v>0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111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251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45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111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110</v>
      </c>
      <c r="W87" s="173">
        <f>W76</f>
        <v>14.55</v>
      </c>
      <c r="X87" s="258" t="s">
        <v>112</v>
      </c>
      <c r="Y87" s="259" t="s">
        <v>113</v>
      </c>
      <c r="Z87" s="665">
        <f>IF('様式11-5'!U$1="LPG",0,T$22)</f>
        <v>0</v>
      </c>
      <c r="AA87" s="665"/>
      <c r="AB87" s="23" t="s">
        <v>46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54"/>
      <c r="S88" s="254"/>
      <c r="T88" s="25"/>
      <c r="U88" s="25"/>
      <c r="V88" s="25"/>
      <c r="W88" s="165"/>
      <c r="X88" s="260"/>
      <c r="Y88" s="260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52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251" t="s">
        <v>51</v>
      </c>
      <c r="AD89" s="28"/>
      <c r="AE89" s="28"/>
      <c r="AF89" s="28"/>
      <c r="AG89" s="28"/>
      <c r="AH89" s="640">
        <f>IF(AH77+AH78=0,0,R89*AB89)</f>
        <v>0</v>
      </c>
      <c r="AI89" s="641"/>
      <c r="AJ89" s="641"/>
      <c r="AK89" s="642"/>
      <c r="AL89" s="617" t="s">
        <v>52</v>
      </c>
      <c r="AM89" s="618"/>
      <c r="AN89" s="594">
        <f>AN56</f>
        <v>6</v>
      </c>
      <c r="AO89" s="595"/>
      <c r="AP89" s="613" t="s">
        <v>45</v>
      </c>
      <c r="AQ89" s="614"/>
      <c r="AR89" s="625">
        <f>AN89*X91/1000</f>
        <v>0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0</v>
      </c>
      <c r="Y90" s="644"/>
      <c r="Z90" s="23" t="s">
        <v>46</v>
      </c>
      <c r="AA90" s="23"/>
      <c r="AB90" s="23"/>
      <c r="AC90" s="24"/>
      <c r="AD90" s="23"/>
      <c r="AE90" s="23"/>
      <c r="AF90" s="23"/>
      <c r="AG90" s="23"/>
      <c r="AH90" s="558">
        <f>R90*X90</f>
        <v>0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54"/>
      <c r="S91" s="254"/>
      <c r="T91" s="25"/>
      <c r="U91" s="25"/>
      <c r="V91" s="25"/>
      <c r="W91" s="165"/>
      <c r="X91" s="716">
        <f>SUM(X90:Y90)</f>
        <v>0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0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0</v>
      </c>
      <c r="S93" s="548"/>
      <c r="T93" s="28" t="s">
        <v>71</v>
      </c>
      <c r="U93" s="28"/>
      <c r="V93" s="28"/>
      <c r="W93" s="549">
        <f>$W$27</f>
        <v>0</v>
      </c>
      <c r="X93" s="549"/>
      <c r="Y93" s="28" t="s">
        <v>70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0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72</v>
      </c>
      <c r="AQ93" s="662"/>
      <c r="AR93" s="663">
        <f>AN93*AB96/1000</f>
        <v>0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203</v>
      </c>
      <c r="M94" s="618"/>
      <c r="N94" s="618"/>
      <c r="O94" s="678"/>
      <c r="P94" s="643" t="s">
        <v>197</v>
      </c>
      <c r="Q94" s="646"/>
      <c r="R94" s="34" t="s">
        <v>157</v>
      </c>
      <c r="S94" s="33">
        <f>IF(P94="夏季",料金単価!$D$3,料金単価!$E$3)</f>
        <v>12.63</v>
      </c>
      <c r="T94" s="148" t="s">
        <v>62</v>
      </c>
      <c r="U94" s="149">
        <f>$U$28</f>
        <v>7.29</v>
      </c>
      <c r="V94" s="148" t="s">
        <v>62</v>
      </c>
      <c r="W94" s="150">
        <f>$W$28</f>
        <v>3.45</v>
      </c>
      <c r="X94" s="151" t="s">
        <v>64</v>
      </c>
      <c r="Y94" s="24" t="s">
        <v>61</v>
      </c>
      <c r="Z94" s="151"/>
      <c r="AA94" s="32"/>
      <c r="AB94" s="702">
        <f>V$17+V$19+V$21</f>
        <v>0</v>
      </c>
      <c r="AC94" s="702"/>
      <c r="AD94" s="24" t="s">
        <v>63</v>
      </c>
      <c r="AE94" s="24"/>
      <c r="AF94" s="24"/>
      <c r="AG94" s="152"/>
      <c r="AH94" s="648">
        <f>(S94+U94+W94)*AB94</f>
        <v>0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255"/>
      <c r="J95" s="252"/>
      <c r="K95" s="252"/>
      <c r="L95" s="259"/>
      <c r="M95" s="259"/>
      <c r="N95" s="259"/>
      <c r="O95" s="259"/>
      <c r="P95" s="259"/>
      <c r="Q95" s="2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253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54"/>
      <c r="S96" s="254"/>
      <c r="T96" s="25"/>
      <c r="U96" s="25"/>
      <c r="V96" s="25"/>
      <c r="W96" s="165"/>
      <c r="X96" s="260"/>
      <c r="Y96" s="260"/>
      <c r="Z96" s="167"/>
      <c r="AA96" s="168"/>
      <c r="AB96" s="711">
        <f>SUM(AB94:AC94)</f>
        <v>0</v>
      </c>
      <c r="AC96" s="711"/>
      <c r="AD96" s="169" t="s">
        <v>57</v>
      </c>
      <c r="AE96" s="25"/>
      <c r="AF96" s="25"/>
      <c r="AG96" s="25"/>
      <c r="AH96" s="712">
        <f>SUM(AH93:AK94)</f>
        <v>0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111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251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45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111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110</v>
      </c>
      <c r="W98" s="173">
        <f>W87</f>
        <v>14.55</v>
      </c>
      <c r="X98" s="258" t="s">
        <v>112</v>
      </c>
      <c r="Y98" s="259" t="s">
        <v>113</v>
      </c>
      <c r="Z98" s="665">
        <f>IF('様式11-5'!U$1="LPG",0,V$23)</f>
        <v>0</v>
      </c>
      <c r="AA98" s="665"/>
      <c r="AB98" s="23" t="s">
        <v>46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54"/>
      <c r="S99" s="254"/>
      <c r="T99" s="25"/>
      <c r="U99" s="25"/>
      <c r="V99" s="25"/>
      <c r="W99" s="165"/>
      <c r="X99" s="260"/>
      <c r="Y99" s="260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52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251" t="s">
        <v>51</v>
      </c>
      <c r="AD100" s="28"/>
      <c r="AE100" s="28"/>
      <c r="AF100" s="28"/>
      <c r="AG100" s="28"/>
      <c r="AH100" s="640">
        <f>IF(AH88+AH89=0,0,R100*AB100)</f>
        <v>0</v>
      </c>
      <c r="AI100" s="641"/>
      <c r="AJ100" s="641"/>
      <c r="AK100" s="642"/>
      <c r="AL100" s="617" t="s">
        <v>52</v>
      </c>
      <c r="AM100" s="618"/>
      <c r="AN100" s="594">
        <f>AN34</f>
        <v>6</v>
      </c>
      <c r="AO100" s="595"/>
      <c r="AP100" s="613" t="s">
        <v>45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46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54"/>
      <c r="S102" s="254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0</v>
      </c>
      <c r="S104" s="548"/>
      <c r="T104" s="28" t="s">
        <v>71</v>
      </c>
      <c r="U104" s="28"/>
      <c r="V104" s="28"/>
      <c r="W104" s="549">
        <f>$W$27</f>
        <v>0</v>
      </c>
      <c r="X104" s="549"/>
      <c r="Y104" s="28" t="s">
        <v>70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0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72</v>
      </c>
      <c r="AQ104" s="662"/>
      <c r="AR104" s="663">
        <f>AN104*AB107/1000</f>
        <v>0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203</v>
      </c>
      <c r="M105" s="618"/>
      <c r="N105" s="618"/>
      <c r="O105" s="678"/>
      <c r="P105" s="643" t="s">
        <v>197</v>
      </c>
      <c r="Q105" s="646"/>
      <c r="R105" s="34" t="s">
        <v>157</v>
      </c>
      <c r="S105" s="33">
        <f>IF(P105="夏季",料金単価!$D$3,料金単価!$E$3)</f>
        <v>12.63</v>
      </c>
      <c r="T105" s="148" t="s">
        <v>62</v>
      </c>
      <c r="U105" s="149">
        <f>$U$28</f>
        <v>7.29</v>
      </c>
      <c r="V105" s="148" t="s">
        <v>62</v>
      </c>
      <c r="W105" s="150">
        <f>$W$28</f>
        <v>3.45</v>
      </c>
      <c r="X105" s="151" t="s">
        <v>64</v>
      </c>
      <c r="Y105" s="24" t="s">
        <v>61</v>
      </c>
      <c r="Z105" s="151"/>
      <c r="AA105" s="32"/>
      <c r="AB105" s="702">
        <f>X$17+X$19+X$21</f>
        <v>0</v>
      </c>
      <c r="AC105" s="702"/>
      <c r="AD105" s="24" t="s">
        <v>63</v>
      </c>
      <c r="AE105" s="24"/>
      <c r="AF105" s="24"/>
      <c r="AG105" s="152"/>
      <c r="AH105" s="648">
        <f>(S105+U105+W105)*AB105</f>
        <v>0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255"/>
      <c r="J106" s="252"/>
      <c r="K106" s="252"/>
      <c r="L106" s="259"/>
      <c r="M106" s="259"/>
      <c r="N106" s="259"/>
      <c r="O106" s="259"/>
      <c r="P106" s="259"/>
      <c r="Q106" s="2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253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54"/>
      <c r="S107" s="254"/>
      <c r="T107" s="25"/>
      <c r="U107" s="25"/>
      <c r="V107" s="25"/>
      <c r="W107" s="165"/>
      <c r="X107" s="260"/>
      <c r="Y107" s="260"/>
      <c r="Z107" s="167"/>
      <c r="AA107" s="168"/>
      <c r="AB107" s="711">
        <f>SUM(AB105:AC105)</f>
        <v>0</v>
      </c>
      <c r="AC107" s="711"/>
      <c r="AD107" s="169" t="s">
        <v>57</v>
      </c>
      <c r="AE107" s="25"/>
      <c r="AF107" s="25"/>
      <c r="AG107" s="25"/>
      <c r="AH107" s="712">
        <f>SUM(AH104:AK105)</f>
        <v>0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111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251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45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111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110</v>
      </c>
      <c r="W109" s="173">
        <f>W98</f>
        <v>14.55</v>
      </c>
      <c r="X109" s="258" t="s">
        <v>112</v>
      </c>
      <c r="Y109" s="259" t="s">
        <v>113</v>
      </c>
      <c r="Z109" s="665">
        <f>IF('様式11-5'!U$1="LPG",0,X$23)</f>
        <v>0</v>
      </c>
      <c r="AA109" s="665"/>
      <c r="AB109" s="23" t="s">
        <v>46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54"/>
      <c r="S110" s="254"/>
      <c r="T110" s="25"/>
      <c r="U110" s="25"/>
      <c r="V110" s="25"/>
      <c r="W110" s="165"/>
      <c r="X110" s="260"/>
      <c r="Y110" s="260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52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251" t="s">
        <v>51</v>
      </c>
      <c r="AD111" s="28"/>
      <c r="AE111" s="28"/>
      <c r="AF111" s="28"/>
      <c r="AG111" s="28"/>
      <c r="AH111" s="640">
        <f>IF(AH99+AH100=0,0,R111*AB111)</f>
        <v>0</v>
      </c>
      <c r="AI111" s="641"/>
      <c r="AJ111" s="641"/>
      <c r="AK111" s="642"/>
      <c r="AL111" s="617" t="s">
        <v>52</v>
      </c>
      <c r="AM111" s="618"/>
      <c r="AN111" s="594">
        <f>AN34</f>
        <v>6</v>
      </c>
      <c r="AO111" s="595"/>
      <c r="AP111" s="613" t="s">
        <v>45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46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54"/>
      <c r="S113" s="254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0</v>
      </c>
      <c r="S115" s="548"/>
      <c r="T115" s="28" t="s">
        <v>71</v>
      </c>
      <c r="U115" s="28"/>
      <c r="V115" s="28"/>
      <c r="W115" s="549">
        <f>$W$27</f>
        <v>0</v>
      </c>
      <c r="X115" s="549"/>
      <c r="Y115" s="28" t="s">
        <v>70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0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72</v>
      </c>
      <c r="AQ115" s="662"/>
      <c r="AR115" s="663">
        <f>AN115*AB118/1000</f>
        <v>0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197</v>
      </c>
      <c r="Q116" s="646"/>
      <c r="R116" s="34" t="s">
        <v>157</v>
      </c>
      <c r="S116" s="33">
        <f>IF(P116="夏季",料金単価!$D$3,料金単価!$E$3)</f>
        <v>12.63</v>
      </c>
      <c r="T116" s="148" t="s">
        <v>62</v>
      </c>
      <c r="U116" s="149">
        <f>$U$28</f>
        <v>7.29</v>
      </c>
      <c r="V116" s="148" t="s">
        <v>62</v>
      </c>
      <c r="W116" s="150">
        <f>$W$28</f>
        <v>3.45</v>
      </c>
      <c r="X116" s="151" t="s">
        <v>64</v>
      </c>
      <c r="Y116" s="24" t="s">
        <v>61</v>
      </c>
      <c r="Z116" s="151"/>
      <c r="AA116" s="32"/>
      <c r="AB116" s="702">
        <f>Z$17+Z$19+Z21</f>
        <v>0</v>
      </c>
      <c r="AC116" s="702"/>
      <c r="AD116" s="24" t="s">
        <v>63</v>
      </c>
      <c r="AE116" s="24"/>
      <c r="AF116" s="24"/>
      <c r="AG116" s="152"/>
      <c r="AH116" s="648">
        <f>(S116+U116+W116)*AB116</f>
        <v>0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255"/>
      <c r="J117" s="252"/>
      <c r="K117" s="252"/>
      <c r="L117" s="259"/>
      <c r="M117" s="259"/>
      <c r="N117" s="259"/>
      <c r="O117" s="259"/>
      <c r="P117" s="259"/>
      <c r="Q117" s="2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253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54"/>
      <c r="S118" s="254"/>
      <c r="T118" s="25"/>
      <c r="U118" s="25"/>
      <c r="V118" s="25"/>
      <c r="W118" s="165"/>
      <c r="X118" s="260"/>
      <c r="Y118" s="260"/>
      <c r="Z118" s="167"/>
      <c r="AA118" s="168"/>
      <c r="AB118" s="711">
        <f>SUM(AB116:AC116)</f>
        <v>0</v>
      </c>
      <c r="AC118" s="711"/>
      <c r="AD118" s="169" t="s">
        <v>57</v>
      </c>
      <c r="AE118" s="25"/>
      <c r="AF118" s="25"/>
      <c r="AG118" s="25"/>
      <c r="AH118" s="712">
        <f>SUM(AH115:AK116)</f>
        <v>0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111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251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45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111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110</v>
      </c>
      <c r="W120" s="173">
        <f>W109</f>
        <v>14.55</v>
      </c>
      <c r="X120" s="258" t="s">
        <v>112</v>
      </c>
      <c r="Y120" s="259" t="s">
        <v>113</v>
      </c>
      <c r="Z120" s="665">
        <f>IF('様式11-5'!U$1="LPG",0,Z$23)</f>
        <v>0</v>
      </c>
      <c r="AA120" s="665"/>
      <c r="AB120" s="23" t="s">
        <v>46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54"/>
      <c r="S121" s="254"/>
      <c r="T121" s="25"/>
      <c r="U121" s="25"/>
      <c r="V121" s="25"/>
      <c r="W121" s="165"/>
      <c r="X121" s="260"/>
      <c r="Y121" s="260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52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251" t="s">
        <v>51</v>
      </c>
      <c r="AD122" s="28"/>
      <c r="AE122" s="28"/>
      <c r="AF122" s="28"/>
      <c r="AG122" s="28"/>
      <c r="AH122" s="640">
        <f>IF(AH110+AH111=0,0,R122*AB122)</f>
        <v>0</v>
      </c>
      <c r="AI122" s="641"/>
      <c r="AJ122" s="641"/>
      <c r="AK122" s="642"/>
      <c r="AL122" s="617" t="s">
        <v>52</v>
      </c>
      <c r="AM122" s="618"/>
      <c r="AN122" s="594">
        <f>AN34</f>
        <v>6</v>
      </c>
      <c r="AO122" s="595"/>
      <c r="AP122" s="613" t="s">
        <v>45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46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54"/>
      <c r="S124" s="254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0</v>
      </c>
      <c r="S126" s="548"/>
      <c r="T126" s="28" t="s">
        <v>71</v>
      </c>
      <c r="U126" s="28"/>
      <c r="V126" s="28"/>
      <c r="W126" s="549">
        <f>$W$27</f>
        <v>0</v>
      </c>
      <c r="X126" s="549"/>
      <c r="Y126" s="28" t="s">
        <v>70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0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72</v>
      </c>
      <c r="AQ126" s="662"/>
      <c r="AR126" s="663">
        <f>AN126*AB129/1000</f>
        <v>0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203</v>
      </c>
      <c r="M127" s="618"/>
      <c r="N127" s="618"/>
      <c r="O127" s="678"/>
      <c r="P127" s="643" t="s">
        <v>197</v>
      </c>
      <c r="Q127" s="646"/>
      <c r="R127" s="34" t="s">
        <v>157</v>
      </c>
      <c r="S127" s="33">
        <f>IF(P127="夏季",料金単価!$D$3,料金単価!$E$3)</f>
        <v>12.63</v>
      </c>
      <c r="T127" s="148" t="s">
        <v>62</v>
      </c>
      <c r="U127" s="149">
        <f>$U$28</f>
        <v>7.29</v>
      </c>
      <c r="V127" s="148" t="s">
        <v>62</v>
      </c>
      <c r="W127" s="150">
        <f>$W$28</f>
        <v>3.45</v>
      </c>
      <c r="X127" s="151" t="s">
        <v>64</v>
      </c>
      <c r="Y127" s="24" t="s">
        <v>61</v>
      </c>
      <c r="Z127" s="151"/>
      <c r="AA127" s="32"/>
      <c r="AB127" s="702">
        <f>AB$17+AB$19+AB21</f>
        <v>0</v>
      </c>
      <c r="AC127" s="702"/>
      <c r="AD127" s="24" t="s">
        <v>63</v>
      </c>
      <c r="AE127" s="24"/>
      <c r="AF127" s="24"/>
      <c r="AG127" s="152"/>
      <c r="AH127" s="648">
        <f>(S127+U127+W127)*AB127</f>
        <v>0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255"/>
      <c r="J128" s="252"/>
      <c r="K128" s="252"/>
      <c r="L128" s="259"/>
      <c r="M128" s="259"/>
      <c r="N128" s="259"/>
      <c r="O128" s="259"/>
      <c r="P128" s="259"/>
      <c r="Q128" s="2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253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54"/>
      <c r="S129" s="254"/>
      <c r="T129" s="25"/>
      <c r="U129" s="25"/>
      <c r="V129" s="25"/>
      <c r="W129" s="165"/>
      <c r="X129" s="260"/>
      <c r="Y129" s="260"/>
      <c r="Z129" s="167"/>
      <c r="AA129" s="168"/>
      <c r="AB129" s="711">
        <f>SUM(AB127:AC127)</f>
        <v>0</v>
      </c>
      <c r="AC129" s="711"/>
      <c r="AD129" s="169" t="s">
        <v>57</v>
      </c>
      <c r="AE129" s="25"/>
      <c r="AF129" s="25"/>
      <c r="AG129" s="25"/>
      <c r="AH129" s="712">
        <f>SUM(AH126:AK127)</f>
        <v>0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111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251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45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111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110</v>
      </c>
      <c r="W131" s="173">
        <f>W120</f>
        <v>14.55</v>
      </c>
      <c r="X131" s="258" t="s">
        <v>112</v>
      </c>
      <c r="Y131" s="259" t="s">
        <v>113</v>
      </c>
      <c r="Z131" s="665">
        <f>IF('様式11-5'!U$1="LPG",0,AB$23)</f>
        <v>0</v>
      </c>
      <c r="AA131" s="665"/>
      <c r="AB131" s="23" t="s">
        <v>46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54"/>
      <c r="S132" s="254"/>
      <c r="T132" s="25"/>
      <c r="U132" s="25"/>
      <c r="V132" s="25"/>
      <c r="W132" s="165"/>
      <c r="X132" s="260"/>
      <c r="Y132" s="260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52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251" t="s">
        <v>51</v>
      </c>
      <c r="AD133" s="28"/>
      <c r="AE133" s="28"/>
      <c r="AF133" s="28"/>
      <c r="AG133" s="28"/>
      <c r="AH133" s="640">
        <f>IF(AH121+AH122=0,0,R133*AB133)</f>
        <v>0</v>
      </c>
      <c r="AI133" s="641"/>
      <c r="AJ133" s="641"/>
      <c r="AK133" s="642"/>
      <c r="AL133" s="617" t="s">
        <v>52</v>
      </c>
      <c r="AM133" s="618"/>
      <c r="AN133" s="594">
        <f>AN34</f>
        <v>6</v>
      </c>
      <c r="AO133" s="595"/>
      <c r="AP133" s="613" t="s">
        <v>45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46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54"/>
      <c r="S135" s="254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0</v>
      </c>
      <c r="S137" s="548"/>
      <c r="T137" s="28" t="s">
        <v>71</v>
      </c>
      <c r="U137" s="28"/>
      <c r="V137" s="28"/>
      <c r="W137" s="549">
        <f>$W$27</f>
        <v>0</v>
      </c>
      <c r="X137" s="549"/>
      <c r="Y137" s="28" t="s">
        <v>70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0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72</v>
      </c>
      <c r="AQ137" s="662"/>
      <c r="AR137" s="663">
        <f>AN137*AB140/1000</f>
        <v>0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203</v>
      </c>
      <c r="M138" s="618"/>
      <c r="N138" s="618"/>
      <c r="O138" s="678"/>
      <c r="P138" s="643" t="s">
        <v>197</v>
      </c>
      <c r="Q138" s="646"/>
      <c r="R138" s="34" t="s">
        <v>157</v>
      </c>
      <c r="S138" s="33">
        <f>IF(P138="夏季",料金単価!$D$3,料金単価!$E$3)</f>
        <v>12.63</v>
      </c>
      <c r="T138" s="148" t="s">
        <v>62</v>
      </c>
      <c r="U138" s="149">
        <f>$U$28</f>
        <v>7.29</v>
      </c>
      <c r="V138" s="148" t="s">
        <v>62</v>
      </c>
      <c r="W138" s="150">
        <f>$W$28</f>
        <v>3.45</v>
      </c>
      <c r="X138" s="151" t="s">
        <v>64</v>
      </c>
      <c r="Y138" s="24" t="s">
        <v>61</v>
      </c>
      <c r="Z138" s="151"/>
      <c r="AA138" s="32"/>
      <c r="AB138" s="702">
        <f>AD$17+AD$19+AD$21</f>
        <v>0</v>
      </c>
      <c r="AC138" s="702"/>
      <c r="AD138" s="24" t="s">
        <v>63</v>
      </c>
      <c r="AE138" s="24"/>
      <c r="AF138" s="24"/>
      <c r="AG138" s="152"/>
      <c r="AH138" s="648">
        <f>(S138+U138+W138)*AB138</f>
        <v>0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255"/>
      <c r="J139" s="252"/>
      <c r="K139" s="252"/>
      <c r="L139" s="259"/>
      <c r="M139" s="259"/>
      <c r="N139" s="259"/>
      <c r="O139" s="259"/>
      <c r="P139" s="259"/>
      <c r="Q139" s="2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253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54"/>
      <c r="S140" s="254"/>
      <c r="T140" s="25"/>
      <c r="U140" s="25"/>
      <c r="V140" s="25"/>
      <c r="W140" s="165"/>
      <c r="X140" s="260"/>
      <c r="Y140" s="260"/>
      <c r="Z140" s="167"/>
      <c r="AA140" s="168"/>
      <c r="AB140" s="711">
        <f>SUM(AB138:AC138)</f>
        <v>0</v>
      </c>
      <c r="AC140" s="711"/>
      <c r="AD140" s="169" t="s">
        <v>57</v>
      </c>
      <c r="AE140" s="25"/>
      <c r="AF140" s="25"/>
      <c r="AG140" s="25"/>
      <c r="AH140" s="712">
        <f>SUM(AH137:AK138)</f>
        <v>0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111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251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45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111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110</v>
      </c>
      <c r="W142" s="173">
        <f>W131</f>
        <v>14.55</v>
      </c>
      <c r="X142" s="258" t="s">
        <v>112</v>
      </c>
      <c r="Y142" s="259" t="s">
        <v>113</v>
      </c>
      <c r="Z142" s="665">
        <f>IF('様式11-5'!U$1="LPG",0,AD$22)</f>
        <v>0</v>
      </c>
      <c r="AA142" s="665"/>
      <c r="AB142" s="23" t="s">
        <v>46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54"/>
      <c r="S143" s="254"/>
      <c r="T143" s="25"/>
      <c r="U143" s="25"/>
      <c r="V143" s="25"/>
      <c r="W143" s="165"/>
      <c r="X143" s="260"/>
      <c r="Y143" s="260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52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251" t="s">
        <v>51</v>
      </c>
      <c r="AD144" s="28"/>
      <c r="AE144" s="28"/>
      <c r="AF144" s="28"/>
      <c r="AG144" s="28"/>
      <c r="AH144" s="640">
        <f>IF(AH132+AH133=0,0,R144*AB144)</f>
        <v>0</v>
      </c>
      <c r="AI144" s="641"/>
      <c r="AJ144" s="641"/>
      <c r="AK144" s="642"/>
      <c r="AL144" s="617" t="s">
        <v>52</v>
      </c>
      <c r="AM144" s="618"/>
      <c r="AN144" s="594">
        <f>AN45</f>
        <v>6</v>
      </c>
      <c r="AO144" s="595"/>
      <c r="AP144" s="613" t="s">
        <v>45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46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54"/>
      <c r="S146" s="254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0</v>
      </c>
      <c r="S148" s="548"/>
      <c r="T148" s="28" t="s">
        <v>71</v>
      </c>
      <c r="U148" s="28"/>
      <c r="V148" s="28"/>
      <c r="W148" s="549">
        <f>$W$27</f>
        <v>0</v>
      </c>
      <c r="X148" s="549"/>
      <c r="Y148" s="28" t="s">
        <v>70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0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72</v>
      </c>
      <c r="AQ148" s="662"/>
      <c r="AR148" s="663">
        <f>AN148*AB151/1000</f>
        <v>0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197</v>
      </c>
      <c r="Q149" s="646"/>
      <c r="R149" s="34" t="s">
        <v>157</v>
      </c>
      <c r="S149" s="33">
        <f>IF(P149="夏季",料金単価!$D$3,料金単価!$E$3)</f>
        <v>12.63</v>
      </c>
      <c r="T149" s="148" t="s">
        <v>62</v>
      </c>
      <c r="U149" s="149">
        <f>$U$28</f>
        <v>7.29</v>
      </c>
      <c r="V149" s="148" t="s">
        <v>62</v>
      </c>
      <c r="W149" s="150">
        <f>$W$28</f>
        <v>3.45</v>
      </c>
      <c r="X149" s="151" t="s">
        <v>64</v>
      </c>
      <c r="Y149" s="24" t="s">
        <v>61</v>
      </c>
      <c r="Z149" s="151"/>
      <c r="AA149" s="32"/>
      <c r="AB149" s="702">
        <f>AF$17+AF$19+AF$21</f>
        <v>0</v>
      </c>
      <c r="AC149" s="702"/>
      <c r="AD149" s="24" t="s">
        <v>63</v>
      </c>
      <c r="AE149" s="24"/>
      <c r="AF149" s="24"/>
      <c r="AG149" s="152"/>
      <c r="AH149" s="648">
        <f>(S149+U149+W149)*AB149</f>
        <v>0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255"/>
      <c r="J150" s="252"/>
      <c r="K150" s="252"/>
      <c r="L150" s="259"/>
      <c r="M150" s="259"/>
      <c r="N150" s="259"/>
      <c r="O150" s="259"/>
      <c r="P150" s="259"/>
      <c r="Q150" s="2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253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54"/>
      <c r="S151" s="254"/>
      <c r="T151" s="25"/>
      <c r="U151" s="25"/>
      <c r="V151" s="25"/>
      <c r="W151" s="165"/>
      <c r="X151" s="260"/>
      <c r="Y151" s="260"/>
      <c r="Z151" s="167"/>
      <c r="AA151" s="168"/>
      <c r="AB151" s="711">
        <f>SUM(AB149:AC149)</f>
        <v>0</v>
      </c>
      <c r="AC151" s="711"/>
      <c r="AD151" s="169" t="s">
        <v>57</v>
      </c>
      <c r="AE151" s="25"/>
      <c r="AF151" s="25"/>
      <c r="AG151" s="25"/>
      <c r="AH151" s="712">
        <f>SUM(AH148:AK149)</f>
        <v>0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111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251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45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111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110</v>
      </c>
      <c r="W153" s="173">
        <f>W142</f>
        <v>14.55</v>
      </c>
      <c r="X153" s="258" t="s">
        <v>112</v>
      </c>
      <c r="Y153" s="259" t="s">
        <v>113</v>
      </c>
      <c r="Z153" s="665">
        <f>IF('様式11-5'!U$1="LPG",0,AF$22)</f>
        <v>0</v>
      </c>
      <c r="AA153" s="665"/>
      <c r="AB153" s="23" t="s">
        <v>46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54"/>
      <c r="S154" s="254"/>
      <c r="T154" s="25"/>
      <c r="U154" s="25"/>
      <c r="V154" s="25"/>
      <c r="W154" s="165"/>
      <c r="X154" s="260"/>
      <c r="Y154" s="260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52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251" t="s">
        <v>51</v>
      </c>
      <c r="AD155" s="28"/>
      <c r="AE155" s="28"/>
      <c r="AF155" s="28"/>
      <c r="AG155" s="28"/>
      <c r="AH155" s="640">
        <f>IF(AH143+AH144=0,0,R155*AB155)</f>
        <v>0</v>
      </c>
      <c r="AI155" s="641"/>
      <c r="AJ155" s="641"/>
      <c r="AK155" s="642"/>
      <c r="AL155" s="617" t="s">
        <v>52</v>
      </c>
      <c r="AM155" s="618"/>
      <c r="AN155" s="594">
        <f>AN56</f>
        <v>6</v>
      </c>
      <c r="AO155" s="595"/>
      <c r="AP155" s="613" t="s">
        <v>45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46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54"/>
      <c r="S157" s="254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249"/>
      <c r="C158" s="249"/>
      <c r="D158" s="249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249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250"/>
      <c r="D159" s="25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25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0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72</v>
      </c>
      <c r="AQ161" s="662"/>
      <c r="AR161" s="663">
        <f>AN161*AB166/1000</f>
        <v>0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0</v>
      </c>
      <c r="AC162" s="557"/>
      <c r="AD162" s="24" t="s">
        <v>63</v>
      </c>
      <c r="AE162" s="24"/>
      <c r="AF162" s="24"/>
      <c r="AG162" s="152"/>
      <c r="AH162" s="648">
        <f>AH39+AH61+AH50</f>
        <v>0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0</v>
      </c>
      <c r="AC163" s="557"/>
      <c r="AD163" s="24" t="s">
        <v>63</v>
      </c>
      <c r="AE163" s="24"/>
      <c r="AF163" s="24"/>
      <c r="AG163" s="152"/>
      <c r="AH163" s="648">
        <f>AH28+AH72+AH149</f>
        <v>0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0</v>
      </c>
      <c r="AC164" s="647"/>
      <c r="AD164" s="30" t="s">
        <v>63</v>
      </c>
      <c r="AE164" s="30"/>
      <c r="AF164" s="30"/>
      <c r="AG164" s="253"/>
      <c r="AH164" s="648">
        <f>AH94+AH105+AH116+AH127+AH83+AH138</f>
        <v>0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255"/>
      <c r="J165" s="252"/>
      <c r="K165" s="252"/>
      <c r="L165" s="259"/>
      <c r="M165" s="259"/>
      <c r="N165" s="259"/>
      <c r="O165" s="259"/>
      <c r="P165" s="259"/>
      <c r="Q165" s="2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262"/>
      <c r="AC165" s="262"/>
      <c r="AD165" s="30"/>
      <c r="AE165" s="30"/>
      <c r="AF165" s="30"/>
      <c r="AG165" s="253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9"/>
      <c r="C166" s="620"/>
      <c r="D166" s="932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0</v>
      </c>
      <c r="AC166" s="701"/>
      <c r="AD166" s="344" t="s">
        <v>57</v>
      </c>
      <c r="AE166" s="337"/>
      <c r="AF166" s="337"/>
      <c r="AG166" s="337"/>
      <c r="AH166" s="652">
        <f>SUM(AH161:AK164)</f>
        <v>0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45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258"/>
      <c r="Y168" s="259"/>
      <c r="Z168" s="257"/>
      <c r="AA168" s="189"/>
      <c r="AB168" s="557">
        <f>Z32+Z43+Z65+Z54+Z76+Z87+Z142+Z153</f>
        <v>0</v>
      </c>
      <c r="AC168" s="557"/>
      <c r="AD168" s="23" t="s">
        <v>46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258"/>
      <c r="Y169" s="259"/>
      <c r="Z169" s="271"/>
      <c r="AA169" s="271"/>
      <c r="AB169" s="562">
        <f>Z98+Z109+Z120+Z131</f>
        <v>0</v>
      </c>
      <c r="AC169" s="562"/>
      <c r="AD169" s="23" t="s">
        <v>46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52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0</v>
      </c>
      <c r="AI171" s="641"/>
      <c r="AJ171" s="641"/>
      <c r="AK171" s="642"/>
      <c r="AL171" s="617" t="s">
        <v>52</v>
      </c>
      <c r="AM171" s="618"/>
      <c r="AN171" s="594">
        <f>AN34</f>
        <v>6</v>
      </c>
      <c r="AO171" s="595"/>
      <c r="AP171" s="613" t="s">
        <v>45</v>
      </c>
      <c r="AQ171" s="614"/>
      <c r="AR171" s="625">
        <f>AN171*AB173/1000</f>
        <v>0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0</v>
      </c>
      <c r="AC172" s="562"/>
      <c r="AD172" s="23" t="s">
        <v>46</v>
      </c>
      <c r="AE172" s="23"/>
      <c r="AF172" s="23"/>
      <c r="AG172" s="23"/>
      <c r="AH172" s="558">
        <f>AH35+AH46+AH68+AH101+AH112+AH123+AH134+AH57+AH79+AH90+AH145+AH156</f>
        <v>0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0</v>
      </c>
      <c r="AC173" s="667"/>
      <c r="AD173" s="347" t="s">
        <v>43</v>
      </c>
      <c r="AE173" s="347"/>
      <c r="AF173" s="347"/>
      <c r="AG173" s="347"/>
      <c r="AH173" s="671">
        <f>SUM(AH171:AK172)</f>
        <v>0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195"/>
      <c r="AE174" s="563" t="s">
        <v>218</v>
      </c>
      <c r="AF174" s="564"/>
      <c r="AG174" s="565"/>
      <c r="AH174" s="566">
        <f>+AH166+AH170+AH173</f>
        <v>0</v>
      </c>
      <c r="AI174" s="567"/>
      <c r="AJ174" s="567"/>
      <c r="AK174" s="568"/>
      <c r="AP174" s="563" t="s">
        <v>1</v>
      </c>
      <c r="AQ174" s="564"/>
      <c r="AR174" s="569">
        <f>SUM(AR161:AT173)</f>
        <v>0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0</v>
      </c>
      <c r="AO177" s="582"/>
      <c r="AP177" s="583" t="s">
        <v>220</v>
      </c>
      <c r="AQ177" s="584"/>
      <c r="AR177" s="585">
        <f>AN177*0.0258</f>
        <v>0</v>
      </c>
      <c r="AS177" s="585"/>
      <c r="AT177" s="585"/>
      <c r="AU177" s="586" t="s">
        <v>119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220</v>
      </c>
      <c r="AQ178" s="584"/>
      <c r="AR178" s="585">
        <f>AN178*0.0258</f>
        <v>0</v>
      </c>
      <c r="AS178" s="585"/>
      <c r="AT178" s="585"/>
      <c r="AU178" s="586" t="s">
        <v>119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116</v>
      </c>
      <c r="AM179" s="599"/>
      <c r="AN179" s="600">
        <f>AB173/92.9</f>
        <v>0</v>
      </c>
      <c r="AO179" s="601"/>
      <c r="AP179" s="602" t="s">
        <v>220</v>
      </c>
      <c r="AQ179" s="603"/>
      <c r="AR179" s="604">
        <f>AN179*0.0258</f>
        <v>0</v>
      </c>
      <c r="AS179" s="604"/>
      <c r="AT179" s="604"/>
      <c r="AU179" s="629" t="s">
        <v>119</v>
      </c>
      <c r="AV179" s="630"/>
    </row>
    <row r="180" spans="2:48" ht="14.25" thickBot="1">
      <c r="AP180" s="573" t="s">
        <v>1</v>
      </c>
      <c r="AQ180" s="574"/>
      <c r="AR180" s="575">
        <f>SUM(AR177:AT179)</f>
        <v>0</v>
      </c>
      <c r="AS180" s="576"/>
      <c r="AT180" s="576"/>
      <c r="AU180" s="577" t="s">
        <v>119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AL179:AM179"/>
    <mergeCell ref="AN179:AO179"/>
    <mergeCell ref="AP179:AQ179"/>
    <mergeCell ref="AR179:AT179"/>
    <mergeCell ref="AP174:AQ174"/>
    <mergeCell ref="AR174:AT174"/>
    <mergeCell ref="AU174:AV174"/>
    <mergeCell ref="AU179:AV179"/>
    <mergeCell ref="AL171:AM173"/>
    <mergeCell ref="B167:D173"/>
    <mergeCell ref="E167:H169"/>
    <mergeCell ref="S167:T167"/>
    <mergeCell ref="AH167:AK167"/>
    <mergeCell ref="AH169:AK169"/>
    <mergeCell ref="P164:Q164"/>
    <mergeCell ref="AB164:AC164"/>
    <mergeCell ref="AH164:AK164"/>
    <mergeCell ref="AB170:AC170"/>
    <mergeCell ref="AH170:AK170"/>
    <mergeCell ref="AR171:AT173"/>
    <mergeCell ref="AU171:AV173"/>
    <mergeCell ref="AR167:AT170"/>
    <mergeCell ref="AH161:AK161"/>
    <mergeCell ref="AL161:AM166"/>
    <mergeCell ref="AN161:AO166"/>
    <mergeCell ref="AP161:AQ166"/>
    <mergeCell ref="E170:H170"/>
    <mergeCell ref="L164:O164"/>
    <mergeCell ref="E171:H172"/>
    <mergeCell ref="R171:S171"/>
    <mergeCell ref="AH171:AK171"/>
    <mergeCell ref="R172:S172"/>
    <mergeCell ref="X172:Y172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N160:AQ160"/>
    <mergeCell ref="AR160:AV160"/>
    <mergeCell ref="AN167:AO170"/>
    <mergeCell ref="AP167:AQ170"/>
    <mergeCell ref="E161:H165"/>
    <mergeCell ref="R161:S161"/>
    <mergeCell ref="W161:X161"/>
    <mergeCell ref="AU167:AV170"/>
    <mergeCell ref="S168:T168"/>
    <mergeCell ref="AB168:AC168"/>
    <mergeCell ref="S169:T169"/>
    <mergeCell ref="AB169:AC169"/>
    <mergeCell ref="AL152:AM154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AE174:AG174"/>
    <mergeCell ref="AH174:AK174"/>
    <mergeCell ref="S153:T153"/>
    <mergeCell ref="Z153:AA153"/>
    <mergeCell ref="AH153:AK153"/>
    <mergeCell ref="X173:Y173"/>
    <mergeCell ref="AB173:AC173"/>
    <mergeCell ref="AH172:AK172"/>
    <mergeCell ref="AL167:AM170"/>
    <mergeCell ref="AH163:AK163"/>
    <mergeCell ref="R144:S144"/>
    <mergeCell ref="Z154:AA154"/>
    <mergeCell ref="AH154:AK154"/>
    <mergeCell ref="X157:Y157"/>
    <mergeCell ref="AH157:AK157"/>
    <mergeCell ref="AH155:AK155"/>
    <mergeCell ref="AP144:AQ146"/>
    <mergeCell ref="E151:H151"/>
    <mergeCell ref="AB151:AC151"/>
    <mergeCell ref="AH151:AK151"/>
    <mergeCell ref="AP148:AQ151"/>
    <mergeCell ref="C148:D151"/>
    <mergeCell ref="E148:H150"/>
    <mergeCell ref="R148:S148"/>
    <mergeCell ref="W148:X148"/>
    <mergeCell ref="AH148:AK148"/>
    <mergeCell ref="AL148:AM151"/>
    <mergeCell ref="AN148:AO151"/>
    <mergeCell ref="B160:D160"/>
    <mergeCell ref="B161:D166"/>
    <mergeCell ref="B148:B157"/>
    <mergeCell ref="E147:H147"/>
    <mergeCell ref="I147:Q147"/>
    <mergeCell ref="R147:AG147"/>
    <mergeCell ref="AH147:AK147"/>
    <mergeCell ref="AL147:AM147"/>
    <mergeCell ref="C141:D146"/>
    <mergeCell ref="AB172:AC172"/>
    <mergeCell ref="AH168:AK168"/>
    <mergeCell ref="AP141:AQ143"/>
    <mergeCell ref="AR141:AT143"/>
    <mergeCell ref="AN147:AQ147"/>
    <mergeCell ref="AR147:AV147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AU155:AV157"/>
    <mergeCell ref="AR148:AT151"/>
    <mergeCell ref="AU148:AV151"/>
    <mergeCell ref="AU141:AV143"/>
    <mergeCell ref="AR144:AT146"/>
    <mergeCell ref="AU144:AV146"/>
    <mergeCell ref="B147:D147"/>
    <mergeCell ref="E157:H157"/>
    <mergeCell ref="E160:H160"/>
    <mergeCell ref="AN152:AO154"/>
    <mergeCell ref="AP152:AQ154"/>
    <mergeCell ref="AR152:AT154"/>
    <mergeCell ref="AU152:AV154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AB138:AC138"/>
    <mergeCell ref="AH138:AK138"/>
    <mergeCell ref="AH139:AK139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AL141:AM143"/>
    <mergeCell ref="R145:S145"/>
    <mergeCell ref="X145:Y145"/>
    <mergeCell ref="AH145:AK145"/>
    <mergeCell ref="E146:H146"/>
    <mergeCell ref="X146:Y146"/>
    <mergeCell ref="AH146:AK146"/>
    <mergeCell ref="AN141:AO143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N136:AQ136"/>
    <mergeCell ref="AR136:AV136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L21:AV21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C00-000000000000}">
          <x14:formula1>
            <xm:f>料金単価!$B$21:$B$28</xm:f>
          </x14:formula1>
          <xm:sqref>Y1:AK1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X180"/>
  <sheetViews>
    <sheetView view="pageBreakPreview" topLeftCell="A23" zoomScaleNormal="115" zoomScaleSheetLayoutView="100" workbookViewId="0">
      <selection activeCell="AN158" sqref="AN158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9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9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9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9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9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9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9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9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9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9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9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9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9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9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9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9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9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9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9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9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9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9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9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9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9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9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9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9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9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9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9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9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9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9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9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9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9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9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9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9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9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9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9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9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9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9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9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9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9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9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9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9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9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9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9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9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9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9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9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9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9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9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9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9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SUMIF(料金単価!$B$21:$B$28,$Y$1,料金単価!A21:A28)</f>
        <v>7</v>
      </c>
      <c r="Y1" s="937" t="s">
        <v>375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99"/>
      <c r="L2" s="199"/>
      <c r="M2" s="247"/>
      <c r="N2" s="247"/>
      <c r="O2" s="247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21</v>
      </c>
      <c r="M7" s="912"/>
      <c r="N7" s="766">
        <v>22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20</v>
      </c>
      <c r="W7" s="927"/>
      <c r="X7" s="766">
        <v>19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10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10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150</v>
      </c>
      <c r="K9" s="886"/>
      <c r="L9" s="886">
        <f>+L7*$J$8</f>
        <v>210</v>
      </c>
      <c r="M9" s="886"/>
      <c r="N9" s="886">
        <f>IF(N7="-","-",+N7*$J$8)</f>
        <v>220</v>
      </c>
      <c r="O9" s="886"/>
      <c r="P9" s="886">
        <f>+P7*$J$8</f>
        <v>130</v>
      </c>
      <c r="Q9" s="886"/>
      <c r="R9" s="887" t="s">
        <v>150</v>
      </c>
      <c r="S9" s="850"/>
      <c r="T9" s="850" t="s">
        <v>150</v>
      </c>
      <c r="U9" s="851"/>
      <c r="V9" s="887" t="s">
        <v>150</v>
      </c>
      <c r="W9" s="850"/>
      <c r="X9" s="850" t="s">
        <v>150</v>
      </c>
      <c r="Y9" s="850"/>
      <c r="Z9" s="850" t="s">
        <v>150</v>
      </c>
      <c r="AA9" s="850"/>
      <c r="AB9" s="850" t="s">
        <v>150</v>
      </c>
      <c r="AC9" s="851"/>
      <c r="AD9" s="887" t="s">
        <v>150</v>
      </c>
      <c r="AE9" s="850"/>
      <c r="AF9" s="850" t="s">
        <v>150</v>
      </c>
      <c r="AG9" s="851"/>
      <c r="AH9" s="930">
        <f>SUM(J9:AG9)</f>
        <v>560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150</v>
      </c>
      <c r="K10" s="797"/>
      <c r="L10" s="797" t="s">
        <v>150</v>
      </c>
      <c r="M10" s="797"/>
      <c r="N10" s="797" t="s">
        <v>150</v>
      </c>
      <c r="O10" s="797"/>
      <c r="P10" s="797" t="s">
        <v>150</v>
      </c>
      <c r="Q10" s="799"/>
      <c r="R10" s="845" t="str">
        <f>IF(R7="-","-",+R7*$R$8)</f>
        <v>-</v>
      </c>
      <c r="S10" s="846"/>
      <c r="T10" s="846" t="s">
        <v>150</v>
      </c>
      <c r="U10" s="876"/>
      <c r="V10" s="845">
        <f>IF(V7="-","-",+V7*$V$8)</f>
        <v>200</v>
      </c>
      <c r="W10" s="846"/>
      <c r="X10" s="847">
        <f>IF(X7="-","-",+X7*$V$8)</f>
        <v>190</v>
      </c>
      <c r="Y10" s="874"/>
      <c r="Z10" s="847">
        <f>IF(Z7="-","-",+Z7*$V$8)</f>
        <v>180</v>
      </c>
      <c r="AA10" s="874"/>
      <c r="AB10" s="847">
        <f>IF(AB7="-","-",+AB7*$V$8)</f>
        <v>140</v>
      </c>
      <c r="AC10" s="875"/>
      <c r="AD10" s="845" t="s">
        <v>150</v>
      </c>
      <c r="AE10" s="846"/>
      <c r="AF10" s="846" t="str">
        <f>IF(AF7="-","-",+AF7*$AF$8)</f>
        <v>-</v>
      </c>
      <c r="AG10" s="876"/>
      <c r="AH10" s="828">
        <f>SUM(J10:AG10)</f>
        <v>860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0.27999999999999997</v>
      </c>
      <c r="K11" s="900"/>
      <c r="L11" s="900">
        <f>70%*SUMIF(室名リスト!$L$3:$L$10,$X$1,室名リスト!$N$3:$N$10)</f>
        <v>0.55999999999999994</v>
      </c>
      <c r="M11" s="900"/>
      <c r="N11" s="900">
        <f>80%*SUMIF(室名リスト!$L$3:$L$10,$X$1,室名リスト!$N$3:$N$10)</f>
        <v>0.64000000000000012</v>
      </c>
      <c r="O11" s="900"/>
      <c r="P11" s="900">
        <f>50%*SUMIF(室名リスト!$L$3:$L$10,$X$1,室名リスト!$N$3:$N$10)</f>
        <v>0.4</v>
      </c>
      <c r="Q11" s="901"/>
      <c r="R11" s="902" t="s">
        <v>150</v>
      </c>
      <c r="S11" s="892"/>
      <c r="T11" s="836" t="s">
        <v>150</v>
      </c>
      <c r="U11" s="871"/>
      <c r="V11" s="872">
        <f>45%*SUMIF(室名リスト!$L$3:$L$10,$X$1,室名リスト!$N$3:$N$10)</f>
        <v>0.36000000000000004</v>
      </c>
      <c r="W11" s="873"/>
      <c r="X11" s="873">
        <f>60%*SUMIF(室名リスト!$L$3:$L$10,$X$1,室名リスト!$N$3:$N$10)</f>
        <v>0.48</v>
      </c>
      <c r="Y11" s="873"/>
      <c r="Z11" s="873">
        <f>60%*SUMIF(室名リスト!$L$3:$L$10,$X$1,室名リスト!$N$3:$N$10)</f>
        <v>0.48</v>
      </c>
      <c r="AA11" s="873"/>
      <c r="AB11" s="873">
        <f>35%*SUMIF(室名リスト!$L$3:$L$10,$X$1,室名リスト!$N$3:$N$10)</f>
        <v>0.27999999999999997</v>
      </c>
      <c r="AC11" s="891"/>
      <c r="AD11" s="838" t="s">
        <v>82</v>
      </c>
      <c r="AE11" s="836"/>
      <c r="AF11" s="892" t="s">
        <v>150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150</v>
      </c>
      <c r="K12" s="788"/>
      <c r="L12" s="788">
        <f>+L9*L11</f>
        <v>117.6</v>
      </c>
      <c r="M12" s="788"/>
      <c r="N12" s="788">
        <f>IF(N9="-","-",+N9*N11)</f>
        <v>140.80000000000004</v>
      </c>
      <c r="O12" s="788"/>
      <c r="P12" s="788">
        <f>+P9*P11</f>
        <v>52</v>
      </c>
      <c r="Q12" s="788"/>
      <c r="R12" s="838" t="s">
        <v>150</v>
      </c>
      <c r="S12" s="836"/>
      <c r="T12" s="836" t="s">
        <v>150</v>
      </c>
      <c r="U12" s="871"/>
      <c r="V12" s="887" t="s">
        <v>150</v>
      </c>
      <c r="W12" s="850"/>
      <c r="X12" s="850" t="s">
        <v>150</v>
      </c>
      <c r="Y12" s="850"/>
      <c r="Z12" s="850" t="s">
        <v>150</v>
      </c>
      <c r="AA12" s="850"/>
      <c r="AB12" s="850" t="s">
        <v>150</v>
      </c>
      <c r="AC12" s="851"/>
      <c r="AD12" s="838" t="s">
        <v>150</v>
      </c>
      <c r="AE12" s="836"/>
      <c r="AF12" s="836" t="s">
        <v>150</v>
      </c>
      <c r="AG12" s="837"/>
      <c r="AH12" s="775">
        <f t="shared" ref="AH12:AH21" si="0">SUM(J12:AG12)</f>
        <v>310.40000000000003</v>
      </c>
      <c r="AI12" s="755"/>
      <c r="AJ12" s="755">
        <f>SUM(AH12:AI13)</f>
        <v>641.20000000000005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41.999999999999993</v>
      </c>
      <c r="K13" s="797"/>
      <c r="L13" s="797" t="s">
        <v>150</v>
      </c>
      <c r="M13" s="797"/>
      <c r="N13" s="797" t="s">
        <v>150</v>
      </c>
      <c r="O13" s="797"/>
      <c r="P13" s="797" t="s">
        <v>150</v>
      </c>
      <c r="Q13" s="799"/>
      <c r="R13" s="845" t="str">
        <f>IF(R10="-","-",+R10*R11)</f>
        <v>-</v>
      </c>
      <c r="S13" s="846"/>
      <c r="T13" s="846" t="s">
        <v>150</v>
      </c>
      <c r="U13" s="847"/>
      <c r="V13" s="848">
        <f>IF(V10="-","-",+V10*V11)</f>
        <v>72.000000000000014</v>
      </c>
      <c r="W13" s="849"/>
      <c r="X13" s="798">
        <f>IF(X10="-","-",+X10*X11)</f>
        <v>91.2</v>
      </c>
      <c r="Y13" s="849"/>
      <c r="Z13" s="798">
        <f>IF(Z10="-","-",+Z10*Z11)</f>
        <v>86.399999999999991</v>
      </c>
      <c r="AA13" s="849"/>
      <c r="AB13" s="798">
        <f>IF(AB10="-","-",+AB10*AB11)</f>
        <v>39.199999999999996</v>
      </c>
      <c r="AC13" s="878"/>
      <c r="AD13" s="845" t="s">
        <v>150</v>
      </c>
      <c r="AE13" s="846"/>
      <c r="AF13" s="846" t="str">
        <f>IF(AF10="-","-",+AF10*AF11)</f>
        <v>-</v>
      </c>
      <c r="AG13" s="876"/>
      <c r="AH13" s="828">
        <f t="shared" si="0"/>
        <v>330.79999999999995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150</v>
      </c>
      <c r="K14" s="788"/>
      <c r="L14" s="789">
        <f>IF(L9="-",31*24,31*24-L9)</f>
        <v>534</v>
      </c>
      <c r="M14" s="789"/>
      <c r="N14" s="836">
        <f>IF(N9="-",31*24,31*24-N9)</f>
        <v>524</v>
      </c>
      <c r="O14" s="836"/>
      <c r="P14" s="789">
        <f>IF(P9="-",30*24,30*24-P9)</f>
        <v>590</v>
      </c>
      <c r="Q14" s="877"/>
      <c r="R14" s="838" t="s">
        <v>150</v>
      </c>
      <c r="S14" s="836"/>
      <c r="T14" s="836" t="s">
        <v>150</v>
      </c>
      <c r="U14" s="871"/>
      <c r="V14" s="838" t="s">
        <v>150</v>
      </c>
      <c r="W14" s="836"/>
      <c r="X14" s="836" t="s">
        <v>150</v>
      </c>
      <c r="Y14" s="836"/>
      <c r="Z14" s="836" t="s">
        <v>150</v>
      </c>
      <c r="AA14" s="836"/>
      <c r="AB14" s="836" t="s">
        <v>150</v>
      </c>
      <c r="AC14" s="837"/>
      <c r="AD14" s="838" t="s">
        <v>150</v>
      </c>
      <c r="AE14" s="836"/>
      <c r="AF14" s="836" t="s">
        <v>150</v>
      </c>
      <c r="AG14" s="837"/>
      <c r="AH14" s="775">
        <f t="shared" si="0"/>
        <v>1648</v>
      </c>
      <c r="AI14" s="755"/>
      <c r="AJ14" s="755">
        <f>SUM(AH14:AI15)</f>
        <v>7340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570</v>
      </c>
      <c r="K15" s="764"/>
      <c r="L15" s="765" t="s">
        <v>150</v>
      </c>
      <c r="M15" s="766"/>
      <c r="N15" s="765" t="s">
        <v>150</v>
      </c>
      <c r="O15" s="766"/>
      <c r="P15" s="765" t="s">
        <v>150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544</v>
      </c>
      <c r="W15" s="834"/>
      <c r="X15" s="834">
        <f>IF(X10="-",31*24,31*24-X10)</f>
        <v>554</v>
      </c>
      <c r="Y15" s="834"/>
      <c r="Z15" s="834">
        <f>IF(Z10="-",28*24,28*24-Z10)</f>
        <v>492</v>
      </c>
      <c r="AA15" s="834"/>
      <c r="AB15" s="834">
        <f>IF(AB10="-",31*24,31*24-AB10)</f>
        <v>604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5692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150</v>
      </c>
      <c r="K16" s="861"/>
      <c r="L16" s="862">
        <f>IF(L12="-",0,L12*SUMIF('様式11-5'!$G$92:$G$99,'様式11-6⑦'!$Y$1,'様式11-5'!$Q$92:$Q$99))+L14*SUMIF('様式11-5'!$G$92:$G$99,'様式11-6⑦'!$Y$1,'様式11-5'!$T$92:$T$99)</f>
        <v>97.416000000000011</v>
      </c>
      <c r="M16" s="863"/>
      <c r="N16" s="862">
        <f>IF(N12="-",0,N12*SUMIF('様式11-5'!$G$92:$G$99,'様式11-6⑦'!$Y$1,'様式11-5'!$Q$92:$Q$99))+N14*SUMIF('様式11-5'!$G$92:$G$99,'様式11-6⑦'!$Y$1,'様式11-5'!$T$92:$T$99)</f>
        <v>114.59858823529417</v>
      </c>
      <c r="O16" s="863"/>
      <c r="P16" s="862">
        <f>IF(P12="-",0,P12*SUMIF('様式11-5'!$G$92:$G$99,'様式11-6⑦'!$Y$1,'様式11-5'!$Q$92:$Q$99))+P14*SUMIF('様式11-5'!$G$92:$G$99,'様式11-6⑦'!$Y$1,'様式11-5'!$T$92:$T$99)</f>
        <v>49.320000000000007</v>
      </c>
      <c r="Q16" s="862"/>
      <c r="R16" s="864" t="s">
        <v>150</v>
      </c>
      <c r="S16" s="816"/>
      <c r="T16" s="816" t="s">
        <v>150</v>
      </c>
      <c r="U16" s="865"/>
      <c r="V16" s="864" t="s">
        <v>150</v>
      </c>
      <c r="W16" s="816"/>
      <c r="X16" s="816" t="s">
        <v>150</v>
      </c>
      <c r="Y16" s="816"/>
      <c r="Z16" s="816" t="s">
        <v>150</v>
      </c>
      <c r="AA16" s="816"/>
      <c r="AB16" s="816" t="s">
        <v>150</v>
      </c>
      <c r="AC16" s="817"/>
      <c r="AD16" s="818" t="s">
        <v>150</v>
      </c>
      <c r="AE16" s="816"/>
      <c r="AF16" s="816" t="s">
        <v>150</v>
      </c>
      <c r="AG16" s="817"/>
      <c r="AH16" s="819">
        <f t="shared" si="0"/>
        <v>261.33458823529418</v>
      </c>
      <c r="AI16" s="820"/>
      <c r="AJ16" s="820">
        <f>SUM(AH16:AI17)</f>
        <v>1744.7915294117647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IF(J13="-",0,J13*SUMIF('様式11-5'!$G$92:$G$99,'様式11-6⑦'!$Y$1,'様式11-5'!$Q$92:$Q$99))+J15*SUMIF('様式11-5'!$G$92:$G$99,'様式11-6⑦'!$Y$1,'様式11-5'!$T$92:$T$99)</f>
        <v>41.484705882352941</v>
      </c>
      <c r="K17" s="844"/>
      <c r="L17" s="797" t="s">
        <v>150</v>
      </c>
      <c r="M17" s="798"/>
      <c r="N17" s="797" t="s">
        <v>150</v>
      </c>
      <c r="O17" s="798"/>
      <c r="P17" s="797" t="s">
        <v>150</v>
      </c>
      <c r="Q17" s="799"/>
      <c r="R17" s="768">
        <f>IF(R13="-",0,R13*SUMIF('様式11-5'!$G$92:$G$99,'様式11-6⑦'!$Y$1,'様式11-5'!$Q$92:$Q$99))+R15*SUMIF('様式11-5'!$G$92:$G$99,'様式11-6⑦'!$Y$1,'様式11-5'!$T$92:$T$99)</f>
        <v>13.129411764705885</v>
      </c>
      <c r="S17" s="814"/>
      <c r="T17" s="769">
        <f>IF(T13="-",0,T13*SUMIF('様式11-5'!$G$92:$G$99,'様式11-6⑦'!$Y$1,'様式11-5'!$R$92:$R$99))+T15*SUMIF('様式11-5'!$G$92:$G$99,'様式11-6⑦'!$Y$1,'様式11-5'!$T$92:$T$99)</f>
        <v>12.705882352941179</v>
      </c>
      <c r="U17" s="815"/>
      <c r="V17" s="795">
        <f>IF(V13="-",0,V13*SUMIF('様式11-5'!$G$92:$G$99,'様式11-6⑦'!$Y$1,'様式11-5'!$R$92:$R$99))+V15*SUMIF('様式11-5'!$G$92:$G$99,'様式11-6⑦'!$Y$1,'様式11-5'!$T$92:$T$99)</f>
        <v>346.56000000000006</v>
      </c>
      <c r="W17" s="796"/>
      <c r="X17" s="824">
        <f>IF(X13="-",0,X13*SUMIF('様式11-5'!$G$92:$G$99,'様式11-6⑦'!$Y$1,'様式11-5'!$R$92:$R$99))+X15*SUMIF('様式11-5'!$G$92:$G$99,'様式11-6⑦'!$Y$1,'様式11-5'!$T$92:$T$99)</f>
        <v>436.59247058823524</v>
      </c>
      <c r="Y17" s="825"/>
      <c r="Z17" s="824">
        <f>IF(Z13="-",0,Z13*SUMIF('様式11-5'!$G$92:$G$99,'様式11-6⑦'!$Y$1,'様式11-5'!$R$92:$R$99))+Z15*SUMIF('様式11-5'!$G$92:$G$99,'様式11-6⑦'!$Y$1,'様式11-5'!$T$92:$T$99)</f>
        <v>413.03435294117639</v>
      </c>
      <c r="AA17" s="825"/>
      <c r="AB17" s="824">
        <f>IF(AB13="-",0,AB13*SUMIF('様式11-5'!$G$92:$G$99,'様式11-6⑦'!$Y$1,'様式11-5'!$R$92:$R$99))+AB15*SUMIF('様式11-5'!$G$92:$G$99,'様式11-6⑦'!$Y$1,'様式11-5'!$T$92:$T$99)</f>
        <v>194.11482352941172</v>
      </c>
      <c r="AC17" s="826"/>
      <c r="AD17" s="827">
        <f>IF(AD13="-",0,AD13*SUMIF('様式11-5'!$G$92:$G$99,'様式11-6⑦'!$Y$1,'様式11-5'!$R$92:$R$99))+AD15*SUMIF('様式11-5'!$G$92:$G$99,'様式11-6⑦'!$Y$1,'様式11-5'!$T$92:$T$99)</f>
        <v>12.705882352941179</v>
      </c>
      <c r="AE17" s="769"/>
      <c r="AF17" s="827">
        <f>IF(AF13="-",0,AF13*SUMIF('様式11-5'!$G$92:$G$99,'様式11-6⑦'!$Y$1,'様式11-5'!$Q$92:$Q$99))+AF15*SUMIF('様式11-5'!$G$92:$G$99,'様式11-6⑦'!$Y$1,'様式11-5'!$T$92:$T$99)</f>
        <v>13.129411764705885</v>
      </c>
      <c r="AG17" s="769"/>
      <c r="AH17" s="828">
        <f>SUM(J17:AG17)</f>
        <v>1483.4569411764705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150</v>
      </c>
      <c r="K18" s="788"/>
      <c r="L18" s="772">
        <f>IF(L9="-",0,L9*SUMIF('様式11-5'!$G$100:$G$107,'様式11-6⑦'!$Y$1,'様式11-5'!$R$100:$R$107))+L14*SUMIF('様式11-5'!$G$100:$G$107,'様式11-6⑦'!$Y$1,'様式11-5'!$T$100:$T$107)</f>
        <v>7.3500000000000005</v>
      </c>
      <c r="M18" s="772"/>
      <c r="N18" s="772">
        <f>IF(N9="-",0,N9*SUMIF('様式11-5'!$G$100:$G$107,'様式11-6⑦'!$Y$1,'様式11-5'!$R$100:$R$107))+N14*SUMIF('様式11-5'!$G$100:$G$107,'様式11-6⑦'!$Y$1,'様式11-5'!$T$100:$T$107)</f>
        <v>7.7000000000000011</v>
      </c>
      <c r="O18" s="772"/>
      <c r="P18" s="789">
        <f>IF(P9="-",0,P9*SUMIF('様式11-5'!$G$100:$G$107,'様式11-6⑦'!$Y$1,'様式11-5'!$R$100:$R$107))+P14*SUMIF('様式11-5'!$G$100:$G$107,'様式11-6⑦'!$Y$1,'様式11-5'!$T$100:$T$107)</f>
        <v>4.5500000000000007</v>
      </c>
      <c r="Q18" s="789"/>
      <c r="R18" s="791" t="s">
        <v>150</v>
      </c>
      <c r="S18" s="772"/>
      <c r="T18" s="772" t="s">
        <v>150</v>
      </c>
      <c r="U18" s="792"/>
      <c r="V18" s="791" t="s">
        <v>150</v>
      </c>
      <c r="W18" s="772"/>
      <c r="X18" s="772" t="s">
        <v>150</v>
      </c>
      <c r="Y18" s="772"/>
      <c r="Z18" s="772" t="s">
        <v>150</v>
      </c>
      <c r="AA18" s="772"/>
      <c r="AB18" s="772" t="s">
        <v>150</v>
      </c>
      <c r="AC18" s="773"/>
      <c r="AD18" s="774" t="s">
        <v>150</v>
      </c>
      <c r="AE18" s="772"/>
      <c r="AF18" s="772" t="s">
        <v>150</v>
      </c>
      <c r="AG18" s="773"/>
      <c r="AH18" s="775">
        <f t="shared" si="0"/>
        <v>19.600000000000001</v>
      </c>
      <c r="AI18" s="755"/>
      <c r="AJ18" s="755">
        <f>SUM(AH18:AI19)</f>
        <v>49.7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IF(J10="-",0,J10*SUMIF('様式11-5'!$G$100:$G$107,'様式11-6⑦'!$Y$1,'様式11-5'!$R$100:$R$107))+J15*SUMIF('様式11-5'!$G$100:$G$107,'様式11-6⑦'!$Y$1,'様式11-5'!$T$100:$T$107)</f>
        <v>5.2500000000000009</v>
      </c>
      <c r="K19" s="796"/>
      <c r="L19" s="797" t="s">
        <v>150</v>
      </c>
      <c r="M19" s="798"/>
      <c r="N19" s="797" t="s">
        <v>150</v>
      </c>
      <c r="O19" s="798"/>
      <c r="P19" s="797" t="s">
        <v>150</v>
      </c>
      <c r="Q19" s="799"/>
      <c r="R19" s="768">
        <f>IF(R10="-",0,R10*SUMIF('様式11-5'!$G$100:$G$107,'様式11-6⑦'!$Y$1,'様式11-5'!$R$100:$R$107))+R15*SUMIF('様式11-5'!$G$100:$G$107,'様式11-6⑦'!$Y$1,'様式11-5'!$T$100:$T$107)</f>
        <v>0</v>
      </c>
      <c r="S19" s="769"/>
      <c r="T19" s="814">
        <f>IF(T10="-",0,T10*SUMIF('様式11-5'!$G$100:$G$107,'様式11-6⑦'!$Y$1,'様式11-5'!$R$100:$R$107))+T15*SUMIF('様式11-5'!$G$100:$G$107,'様式11-6⑦'!$Y$1,'様式11-5'!$T$100:$T$107)</f>
        <v>0</v>
      </c>
      <c r="U19" s="831"/>
      <c r="V19" s="832">
        <f>IF(V10="-",0,V10*SUMIF('様式11-5'!$G$100:$G$107,'様式11-6⑦'!$Y$1,'様式11-5'!$R$100:$R$107))+V15*SUMIF('様式11-5'!$G$100:$G$107,'様式11-6⑦'!$Y$1,'様式11-5'!$T$100:$T$107)</f>
        <v>7.0000000000000009</v>
      </c>
      <c r="W19" s="825"/>
      <c r="X19" s="824">
        <f>IF(X10="-",0,X10*SUMIF('様式11-5'!$G$100:$G$107,'様式11-6⑦'!$Y$1,'様式11-5'!$R$100:$R$107))+X15*SUMIF('様式11-5'!$G$100:$G$107,'様式11-6⑦'!$Y$1,'様式11-5'!$T$100:$T$107)</f>
        <v>6.65</v>
      </c>
      <c r="Y19" s="825"/>
      <c r="Z19" s="824">
        <f>IF(Z10="-",0,Z10*SUMIF('様式11-5'!$G$100:$G$107,'様式11-6⑦'!$Y$1,'様式11-5'!$R$100:$R$107))+Z15*SUMIF('様式11-5'!$G$100:$G$107,'様式11-6⑦'!$Y$1,'様式11-5'!$T$100:$T$107)</f>
        <v>6.3000000000000007</v>
      </c>
      <c r="AA19" s="825"/>
      <c r="AB19" s="824">
        <f>IF(AB10="-",0,AB10*SUMIF('様式11-5'!$G$100:$G$107,'様式11-6⑦'!$Y$1,'様式11-5'!$R$100:$R$107))+AB15*SUMIF('様式11-5'!$G$100:$G$107,'様式11-6⑦'!$Y$1,'様式11-5'!$T$100:$T$107)</f>
        <v>4.9000000000000004</v>
      </c>
      <c r="AC19" s="826"/>
      <c r="AD19" s="827">
        <f>IF(AD10="-",0,AD10*SUMIF('様式11-5'!$G$100:$G$107,'様式11-6⑦'!$Y$1,'様式11-5'!$R$100:$R$107))+AD15*SUMIF('様式11-5'!$G$100:$G$107,'様式11-6⑦'!$Y$1,'様式11-5'!$T$100:$T$107)</f>
        <v>0</v>
      </c>
      <c r="AE19" s="769"/>
      <c r="AF19" s="827">
        <f>IF(AF10="-",0,AF10*SUMIF('様式11-5'!$G$100:$G$107,'様式11-6⑦'!$Y$1,'様式11-5'!$R$100:$R$107))+AF15*SUMIF('様式11-5'!$G$100:$G$107,'様式11-6⑦'!$Y$1,'様式11-5'!$T$100:$T$107)</f>
        <v>0</v>
      </c>
      <c r="AG19" s="769"/>
      <c r="AH19" s="828">
        <f t="shared" si="0"/>
        <v>30.1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150</v>
      </c>
      <c r="K20" s="788"/>
      <c r="L20" s="789">
        <f>IF(L9="-",0,L9*SUMIF('様式11-5'!$G$108:$G$115,'様式11-6⑦'!$Y$1,'様式11-5'!$Q$108:$Q$115))+L14*SUMIF('様式11-5'!$G$108:$G$115,'様式11-6⑦'!$Y$1,'様式11-5'!$T$108:$T$115)</f>
        <v>0</v>
      </c>
      <c r="M20" s="790"/>
      <c r="N20" s="789">
        <f>IF(N9="-",0,N9*SUMIF('様式11-5'!$G$108:$G$115,'様式11-6⑦'!$Y$1,'様式11-5'!$Q$108:$Q$115))+N14*SUMIF('様式11-5'!$G$108:$G$115,'様式11-6⑦'!$Y$1,'様式11-5'!$T$108:$T$115)</f>
        <v>0</v>
      </c>
      <c r="O20" s="790"/>
      <c r="P20" s="789">
        <f>IF(P9="-",0,P9*SUMIF('様式11-5'!$G$108:$G$115,'様式11-6⑦'!$Y$1,'様式11-5'!$Q$108:$Q$115))+P14*SUMIF('様式11-5'!$G$108:$G$115,'様式11-6⑦'!$Y$1,'様式11-5'!$T$108:$T$115)</f>
        <v>0</v>
      </c>
      <c r="Q20" s="789"/>
      <c r="R20" s="791" t="s">
        <v>150</v>
      </c>
      <c r="S20" s="772"/>
      <c r="T20" s="772" t="s">
        <v>150</v>
      </c>
      <c r="U20" s="792"/>
      <c r="V20" s="791" t="s">
        <v>150</v>
      </c>
      <c r="W20" s="772"/>
      <c r="X20" s="772" t="s">
        <v>150</v>
      </c>
      <c r="Y20" s="772"/>
      <c r="Z20" s="772" t="s">
        <v>150</v>
      </c>
      <c r="AA20" s="772"/>
      <c r="AB20" s="772" t="s">
        <v>150</v>
      </c>
      <c r="AC20" s="773"/>
      <c r="AD20" s="774" t="s">
        <v>150</v>
      </c>
      <c r="AE20" s="772"/>
      <c r="AF20" s="772" t="s">
        <v>150</v>
      </c>
      <c r="AG20" s="773"/>
      <c r="AH20" s="775">
        <f t="shared" si="0"/>
        <v>0</v>
      </c>
      <c r="AI20" s="755"/>
      <c r="AJ20" s="755">
        <f>SUM(AH20:AI21)</f>
        <v>0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IF(J10="-",0,J10*SUMIF('様式11-5'!$G$108:$G$115,'様式11-6⑦'!$Y$1,'様式11-5'!$Q$108:$Q$115))+J15*SUMIF('様式11-5'!$G$108:$G$115,'様式11-6⑦'!$Y$1,'様式11-5'!$T$108:$T$115)</f>
        <v>0</v>
      </c>
      <c r="K21" s="764"/>
      <c r="L21" s="765" t="s">
        <v>150</v>
      </c>
      <c r="M21" s="766"/>
      <c r="N21" s="765" t="s">
        <v>150</v>
      </c>
      <c r="O21" s="766"/>
      <c r="P21" s="765" t="s">
        <v>150</v>
      </c>
      <c r="Q21" s="767"/>
      <c r="R21" s="768">
        <f>IF(R10="-",0,R10*SUMIF('様式11-5'!$G$108:$G$115,'様式11-6⑦'!$Y$1,'様式11-5'!$Q$108:$Q$115))+R15*SUMIF('様式11-5'!$G$108:$G$115,'様式11-6⑦'!$Y$1,'様式11-5'!$T$108:$T$115)</f>
        <v>0</v>
      </c>
      <c r="S21" s="769"/>
      <c r="T21" s="720">
        <f>IF(T10="-",0,T10*SUMIF('様式11-5'!$G$108:$G$115,'様式11-6⑦'!$Y$1,'様式11-5'!$R$108:$R$115))+T15*SUMIF('様式11-5'!$G$108:$G$115,'様式11-6⑦'!$Y$1,'様式11-5'!$T$108:$T$115)</f>
        <v>0</v>
      </c>
      <c r="U21" s="722"/>
      <c r="V21" s="770">
        <f>IF(V10="-",0,V10*SUMIF('様式11-5'!$G$108:$G$115,'様式11-6⑦'!$Y$1,'様式11-5'!$R$108:$R$115))+V15*SUMIF('様式11-5'!$G$108:$G$115,'様式11-6⑦'!$Y$1,'様式11-5'!$T$108:$T$115)</f>
        <v>0</v>
      </c>
      <c r="W21" s="771"/>
      <c r="X21" s="748">
        <f>IF(X10="-",0,X10*SUMIF('様式11-5'!$G$108:$G$115,'様式11-6⑦'!$Y$1,'様式11-5'!$R$108:$R$115))+X15*SUMIF('様式11-5'!$G$108:$G$115,'様式11-6⑦'!$Y$1,'様式11-5'!$T$108:$T$115)</f>
        <v>0</v>
      </c>
      <c r="Y21" s="749"/>
      <c r="Z21" s="748">
        <f>IF(Z10="-",0,Z10*SUMIF('様式11-5'!$G$108:$G$115,'様式11-6⑦'!$Y$1,'様式11-5'!$R$108:$R$115))+Z15*SUMIF('様式11-5'!$G$108:$G$115,'様式11-6⑦'!$Y$1,'様式11-5'!$T$108:$T$115)</f>
        <v>0</v>
      </c>
      <c r="AA21" s="749"/>
      <c r="AB21" s="748">
        <f>IF(AB10="-",0,AB10*SUMIF('様式11-5'!$G$108:$G$115,'様式11-6⑦'!$Y$1,'様式11-5'!$R$108:$R$115))+AB15*SUMIF('様式11-5'!$G$108:$G$115,'様式11-6⑦'!$Y$1,'様式11-5'!$T$108:$T$115)</f>
        <v>0</v>
      </c>
      <c r="AC21" s="750"/>
      <c r="AD21" s="751">
        <f>IF(AD10="-",0,AD10*SUMIF('様式11-5'!$G$108:$G$115,'様式11-6⑦'!$Y$1,'様式11-5'!$R$108:$R$115))+AD15*SUMIF('様式11-5'!$G$108:$G$115,'様式11-6⑦'!$Y$1,'様式11-5'!$T$108:$T$115)</f>
        <v>0</v>
      </c>
      <c r="AE21" s="752"/>
      <c r="AF21" s="751">
        <f>IF(AF10="-",0,AF10*SUMIF('様式11-5'!$G$108:$G$115,'様式11-6⑦'!$Y$1,'様式11-5'!$Q$108:$Q$115))+AF15*SUMIF('様式11-5'!$G$108:$G$115,'様式11-6⑦'!$Y$1,'様式11-5'!$T$108:$T$115)</f>
        <v>0</v>
      </c>
      <c r="AG21" s="752"/>
      <c r="AH21" s="753">
        <f t="shared" si="0"/>
        <v>0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IF(J13="-",0,J13*SUMIF('様式11-5'!$G$92:$G$99,'様式11-6⑦'!$Y$1,'様式11-5'!$X$92:$X$99))</f>
        <v>4.9411764705882346</v>
      </c>
      <c r="K22" s="807"/>
      <c r="L22" s="808">
        <f>IF(L12="-",0,L12*SUMIF('様式11-5'!$G$92:$G$99,'様式11-6⑦'!$Y$1,'様式11-5'!$X$92:$X$99))</f>
        <v>13.835294117647058</v>
      </c>
      <c r="M22" s="809"/>
      <c r="N22" s="810">
        <f>IF(N12="-",0,N12*SUMIF('様式11-5'!$G$92:$G$99,'様式11-6⑦'!$Y$1,'様式11-5'!$X$92:$X$99))</f>
        <v>16.564705882352946</v>
      </c>
      <c r="O22" s="810"/>
      <c r="P22" s="808">
        <f>IF(P12="-",0,P12*SUMIF('様式11-5'!$G$92:$G$99,'様式11-6⑦'!$Y$1,'様式11-5'!$X$92:$X$99))</f>
        <v>6.117647058823529</v>
      </c>
      <c r="Q22" s="811"/>
      <c r="R22" s="812">
        <f>IF(R13="-",0,R13*SUMIF('様式11-5'!$G$92:$G$99,'様式11-6⑦'!$Y$1,'様式11-5'!$X$92:$X$99))</f>
        <v>0</v>
      </c>
      <c r="S22" s="743"/>
      <c r="T22" s="743">
        <f>IF(T13="-",0,T13*SUMIF('様式11-5'!$G$92:$G$99,'様式11-6⑦'!$Y$1,'様式11-5'!$X$92:$X$99))</f>
        <v>0</v>
      </c>
      <c r="U22" s="813"/>
      <c r="V22" s="812" t="s">
        <v>150</v>
      </c>
      <c r="W22" s="743"/>
      <c r="X22" s="743" t="s">
        <v>150</v>
      </c>
      <c r="Y22" s="743"/>
      <c r="Z22" s="743" t="s">
        <v>150</v>
      </c>
      <c r="AA22" s="743"/>
      <c r="AB22" s="743" t="s">
        <v>150</v>
      </c>
      <c r="AC22" s="744"/>
      <c r="AD22" s="745">
        <f>IF(AD13="-",0,AD13*SUMIF('様式11-5'!$G$92:$G$99,'様式11-6⑦'!$Y$1,'様式11-5'!$Y$92:$Y$99))</f>
        <v>0</v>
      </c>
      <c r="AE22" s="743"/>
      <c r="AF22" s="743">
        <f>IF(AF13="-",0,AF13*SUMIF('様式11-5'!$G$92:$G$99,'様式11-6⑦'!$Y$1,'様式11-5'!$X$92:$X$99))</f>
        <v>0</v>
      </c>
      <c r="AG22" s="744"/>
      <c r="AH22" s="746">
        <f>SUM(J22:AG22)</f>
        <v>41.458823529411767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150</v>
      </c>
      <c r="K23" s="737"/>
      <c r="L23" s="737" t="s">
        <v>150</v>
      </c>
      <c r="M23" s="737"/>
      <c r="N23" s="737" t="s">
        <v>150</v>
      </c>
      <c r="O23" s="737"/>
      <c r="P23" s="737" t="s">
        <v>150</v>
      </c>
      <c r="Q23" s="738"/>
      <c r="R23" s="739" t="s">
        <v>150</v>
      </c>
      <c r="S23" s="724"/>
      <c r="T23" s="724" t="s">
        <v>150</v>
      </c>
      <c r="U23" s="740"/>
      <c r="V23" s="741">
        <f>IF(V13="-",0,V13*SUMIF('様式11-5'!$G$92:$G$99,'様式11-6⑦'!$Y$1,'様式11-5'!$Y$92:$Y$99))</f>
        <v>0</v>
      </c>
      <c r="W23" s="742"/>
      <c r="X23" s="720">
        <f>IF(X13="-",0,X13*SUMIF('様式11-5'!$G$92:$G$99,'様式11-6⑦'!$Y$1,'様式11-5'!$Y$92:$Y$99))</f>
        <v>0</v>
      </c>
      <c r="Y23" s="721"/>
      <c r="Z23" s="720">
        <f>IF(Z13="-",0,Z13*SUMIF('様式11-5'!$G$92:$G$99,'様式11-6⑦'!$Y$1,'様式11-5'!$Y$92:$Y$99))</f>
        <v>0</v>
      </c>
      <c r="AA23" s="721"/>
      <c r="AB23" s="720">
        <f>IF(AB13="-",0,AB13*SUMIF('様式11-5'!$G$92:$G$99,'様式11-6⑦'!$Y$1,'様式11-5'!$Y$92:$Y$99))</f>
        <v>0</v>
      </c>
      <c r="AC23" s="722"/>
      <c r="AD23" s="723" t="s">
        <v>150</v>
      </c>
      <c r="AE23" s="724"/>
      <c r="AF23" s="724" t="s">
        <v>150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1285.8699999999999</v>
      </c>
      <c r="S27" s="548"/>
      <c r="T27" s="28" t="s">
        <v>71</v>
      </c>
      <c r="U27" s="28"/>
      <c r="V27" s="28"/>
      <c r="W27" s="549">
        <f>SUMIF('様式11-5'!$G$92:$G$99,'様式11-6⑦'!$Y$1,'様式11-5'!$Q$92:$Q$99)+SUMIF('様式11-5'!$G$100:$G$107,'様式11-6⑦'!$Y$1,'様式11-5'!$R$100:$R$107)+SUMIF('様式11-5'!$G$108:$G$115,'様式11-6⑦'!$Y$1,'様式11-5'!$Q$108:$Q$115)</f>
        <v>0.78323529411764725</v>
      </c>
      <c r="X27" s="549"/>
      <c r="Y27" s="28" t="s">
        <v>70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856.06795250000016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72</v>
      </c>
      <c r="AQ27" s="662"/>
      <c r="AR27" s="663">
        <f>AN27*AB30/1000</f>
        <v>2.0983882941176472E-2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62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46.734705882352941</v>
      </c>
      <c r="AC28" s="702"/>
      <c r="AD28" s="24" t="s">
        <v>63</v>
      </c>
      <c r="AE28" s="24"/>
      <c r="AF28" s="24"/>
      <c r="AG28" s="152"/>
      <c r="AH28" s="648">
        <f>(S28+U28+W28)*AB28</f>
        <v>1092.1900764705883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273"/>
      <c r="J29" s="269"/>
      <c r="K29" s="269"/>
      <c r="L29" s="271"/>
      <c r="M29" s="271"/>
      <c r="N29" s="271"/>
      <c r="O29" s="271"/>
      <c r="P29" s="271"/>
      <c r="Q29" s="272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70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54"/>
      <c r="S30" s="254"/>
      <c r="T30" s="25"/>
      <c r="U30" s="25"/>
      <c r="V30" s="25"/>
      <c r="W30" s="165"/>
      <c r="X30" s="260"/>
      <c r="Y30" s="260"/>
      <c r="Z30" s="167"/>
      <c r="AA30" s="168"/>
      <c r="AB30" s="711">
        <f>SUM(AB28:AC28)</f>
        <v>46.734705882352941</v>
      </c>
      <c r="AC30" s="711"/>
      <c r="AD30" s="169" t="s">
        <v>57</v>
      </c>
      <c r="AE30" s="25"/>
      <c r="AF30" s="25"/>
      <c r="AG30" s="25"/>
      <c r="AH30" s="712">
        <f>SUM(AH27:AK28)</f>
        <v>1948.2580289705884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111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251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45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111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110</v>
      </c>
      <c r="W32" s="173">
        <f>料金単価!$F$7</f>
        <v>14.55</v>
      </c>
      <c r="X32" s="258" t="s">
        <v>112</v>
      </c>
      <c r="Y32" s="259" t="s">
        <v>113</v>
      </c>
      <c r="Z32" s="719">
        <f>IF('様式11-5'!U$1="LPG",0,J$22)</f>
        <v>0</v>
      </c>
      <c r="AA32" s="719"/>
      <c r="AB32" s="23" t="s">
        <v>46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54"/>
      <c r="S33" s="254"/>
      <c r="T33" s="25"/>
      <c r="U33" s="25"/>
      <c r="V33" s="25"/>
      <c r="W33" s="165"/>
      <c r="X33" s="260"/>
      <c r="Y33" s="260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52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251" t="s">
        <v>51</v>
      </c>
      <c r="AD34" s="28"/>
      <c r="AE34" s="28"/>
      <c r="AF34" s="28"/>
      <c r="AG34" s="28"/>
      <c r="AH34" s="640">
        <f>IF($AH$22+$AH$23=0,0,R34*AB34)</f>
        <v>1320</v>
      </c>
      <c r="AI34" s="641"/>
      <c r="AJ34" s="641"/>
      <c r="AK34" s="642"/>
      <c r="AL34" s="617" t="s">
        <v>52</v>
      </c>
      <c r="AM34" s="618"/>
      <c r="AN34" s="594">
        <v>6</v>
      </c>
      <c r="AO34" s="595"/>
      <c r="AP34" s="613" t="s">
        <v>45</v>
      </c>
      <c r="AQ34" s="614"/>
      <c r="AR34" s="625">
        <f>AN34*X36/1000</f>
        <v>2.9647058823529405E-2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4.9411764705882346</v>
      </c>
      <c r="Y35" s="644"/>
      <c r="Z35" s="23" t="s">
        <v>46</v>
      </c>
      <c r="AA35" s="23"/>
      <c r="AB35" s="23"/>
      <c r="AC35" s="24"/>
      <c r="AD35" s="23"/>
      <c r="AE35" s="23"/>
      <c r="AF35" s="23"/>
      <c r="AG35" s="23"/>
      <c r="AH35" s="558">
        <f>R35*X35</f>
        <v>2174.1176470588234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54"/>
      <c r="S36" s="254"/>
      <c r="T36" s="25"/>
      <c r="U36" s="25"/>
      <c r="V36" s="25"/>
      <c r="W36" s="165"/>
      <c r="X36" s="716">
        <f>SUM(X35:Y35)</f>
        <v>4.9411764705882346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3494.1176470588234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1285.8699999999999</v>
      </c>
      <c r="S38" s="548"/>
      <c r="T38" s="28" t="s">
        <v>71</v>
      </c>
      <c r="U38" s="28"/>
      <c r="V38" s="28"/>
      <c r="W38" s="549">
        <f>$W$27</f>
        <v>0.78323529411764725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856.06795250000016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72</v>
      </c>
      <c r="AQ38" s="662"/>
      <c r="AR38" s="663">
        <f>AN38*AB41/1000</f>
        <v>4.7039934000000005E-2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62</v>
      </c>
      <c r="U39" s="149">
        <f>$U$28</f>
        <v>7.29</v>
      </c>
      <c r="V39" s="148" t="s">
        <v>62</v>
      </c>
      <c r="W39" s="150">
        <f>$W$28</f>
        <v>3.45</v>
      </c>
      <c r="X39" s="151" t="s">
        <v>64</v>
      </c>
      <c r="Y39" s="24" t="s">
        <v>61</v>
      </c>
      <c r="Z39" s="151"/>
      <c r="AA39" s="32"/>
      <c r="AB39" s="702">
        <f>L$16+L$18+L$20</f>
        <v>104.76600000000001</v>
      </c>
      <c r="AC39" s="702"/>
      <c r="AD39" s="24" t="s">
        <v>63</v>
      </c>
      <c r="AE39" s="24"/>
      <c r="AF39" s="24"/>
      <c r="AG39" s="152"/>
      <c r="AH39" s="648">
        <f>(S39+U39+W39)*AB39</f>
        <v>2538.48018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255"/>
      <c r="J40" s="252"/>
      <c r="K40" s="252"/>
      <c r="L40" s="259"/>
      <c r="M40" s="259"/>
      <c r="N40" s="259"/>
      <c r="O40" s="259"/>
      <c r="P40" s="259"/>
      <c r="Q40" s="2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253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54"/>
      <c r="S41" s="254"/>
      <c r="T41" s="25"/>
      <c r="U41" s="25"/>
      <c r="V41" s="25"/>
      <c r="W41" s="165"/>
      <c r="X41" s="260"/>
      <c r="Y41" s="260"/>
      <c r="Z41" s="167"/>
      <c r="AA41" s="168"/>
      <c r="AB41" s="711">
        <f>SUM(AB39:AC39)</f>
        <v>104.76600000000001</v>
      </c>
      <c r="AC41" s="711"/>
      <c r="AD41" s="169" t="s">
        <v>57</v>
      </c>
      <c r="AE41" s="25"/>
      <c r="AF41" s="25"/>
      <c r="AG41" s="25"/>
      <c r="AH41" s="712">
        <f>SUM(AH38:AK39)</f>
        <v>3394.5481325000001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111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251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45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132.49</v>
      </c>
      <c r="T43" s="556"/>
      <c r="U43" s="23" t="s">
        <v>48</v>
      </c>
      <c r="V43" s="172" t="s">
        <v>110</v>
      </c>
      <c r="W43" s="173">
        <f>W32</f>
        <v>14.55</v>
      </c>
      <c r="X43" s="258" t="s">
        <v>112</v>
      </c>
      <c r="Y43" s="259" t="s">
        <v>113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54"/>
      <c r="S44" s="254"/>
      <c r="T44" s="25"/>
      <c r="U44" s="25"/>
      <c r="V44" s="25"/>
      <c r="W44" s="165"/>
      <c r="X44" s="260"/>
      <c r="Y44" s="260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52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251" t="s">
        <v>51</v>
      </c>
      <c r="AD45" s="28"/>
      <c r="AE45" s="28"/>
      <c r="AF45" s="28"/>
      <c r="AG45" s="28"/>
      <c r="AH45" s="640">
        <f>IF($AH$22+$AH$23=0,0,R45*AB45)</f>
        <v>1320</v>
      </c>
      <c r="AI45" s="641"/>
      <c r="AJ45" s="641"/>
      <c r="AK45" s="642"/>
      <c r="AL45" s="617" t="s">
        <v>52</v>
      </c>
      <c r="AM45" s="618"/>
      <c r="AN45" s="594">
        <f>AN34</f>
        <v>6</v>
      </c>
      <c r="AO45" s="595"/>
      <c r="AP45" s="613" t="s">
        <v>45</v>
      </c>
      <c r="AQ45" s="614"/>
      <c r="AR45" s="625">
        <f>AN45*X47/1000</f>
        <v>8.301176470588234E-2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13.835294117647058</v>
      </c>
      <c r="Y46" s="644"/>
      <c r="Z46" s="23" t="s">
        <v>46</v>
      </c>
      <c r="AA46" s="23"/>
      <c r="AB46" s="23"/>
      <c r="AC46" s="24"/>
      <c r="AD46" s="23"/>
      <c r="AE46" s="23"/>
      <c r="AF46" s="23"/>
      <c r="AG46" s="23"/>
      <c r="AH46" s="558">
        <f>R46*X46</f>
        <v>6087.5294117647054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54"/>
      <c r="S47" s="254"/>
      <c r="T47" s="25"/>
      <c r="U47" s="25"/>
      <c r="V47" s="25"/>
      <c r="W47" s="165"/>
      <c r="X47" s="716">
        <f>SUM(X46:Y46)</f>
        <v>13.835294117647058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7407.5294117647054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1285.8699999999999</v>
      </c>
      <c r="S49" s="548"/>
      <c r="T49" s="28" t="s">
        <v>71</v>
      </c>
      <c r="U49" s="28"/>
      <c r="V49" s="28"/>
      <c r="W49" s="549">
        <f>$W$27</f>
        <v>0.78323529411764725</v>
      </c>
      <c r="X49" s="549"/>
      <c r="Y49" s="28" t="s">
        <v>70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856.06795250000016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72</v>
      </c>
      <c r="AQ49" s="662"/>
      <c r="AR49" s="663">
        <f>AN49*AB52/1000</f>
        <v>5.4912066117647089E-2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62</v>
      </c>
      <c r="U50" s="149">
        <f>$U$28</f>
        <v>7.29</v>
      </c>
      <c r="V50" s="148" t="s">
        <v>62</v>
      </c>
      <c r="W50" s="150">
        <f>$W$28</f>
        <v>3.45</v>
      </c>
      <c r="X50" s="151" t="s">
        <v>64</v>
      </c>
      <c r="Y50" s="24" t="s">
        <v>61</v>
      </c>
      <c r="Z50" s="151"/>
      <c r="AA50" s="32"/>
      <c r="AB50" s="702">
        <f>N$16+N$18+N$20</f>
        <v>122.29858823529418</v>
      </c>
      <c r="AC50" s="702"/>
      <c r="AD50" s="24" t="s">
        <v>63</v>
      </c>
      <c r="AE50" s="24"/>
      <c r="AF50" s="24"/>
      <c r="AG50" s="152"/>
      <c r="AH50" s="648">
        <f>(S50+U50+W50)*AB50</f>
        <v>2963.294792941178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255"/>
      <c r="J51" s="252"/>
      <c r="K51" s="252"/>
      <c r="L51" s="259"/>
      <c r="M51" s="259"/>
      <c r="N51" s="259"/>
      <c r="O51" s="259"/>
      <c r="P51" s="259"/>
      <c r="Q51" s="2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253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54"/>
      <c r="S52" s="254"/>
      <c r="T52" s="25"/>
      <c r="U52" s="25"/>
      <c r="V52" s="25"/>
      <c r="W52" s="165"/>
      <c r="X52" s="260"/>
      <c r="Y52" s="260"/>
      <c r="Z52" s="167"/>
      <c r="AA52" s="168"/>
      <c r="AB52" s="711">
        <f>SUM(AB50:AC50)</f>
        <v>122.29858823529418</v>
      </c>
      <c r="AC52" s="711"/>
      <c r="AD52" s="169" t="s">
        <v>57</v>
      </c>
      <c r="AE52" s="25"/>
      <c r="AF52" s="25"/>
      <c r="AG52" s="25"/>
      <c r="AH52" s="712">
        <f>SUM(AH49:AK50)</f>
        <v>3819.362745441178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111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251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45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111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132.49</v>
      </c>
      <c r="T54" s="556"/>
      <c r="U54" s="23" t="s">
        <v>48</v>
      </c>
      <c r="V54" s="172" t="s">
        <v>110</v>
      </c>
      <c r="W54" s="173">
        <f>W43</f>
        <v>14.55</v>
      </c>
      <c r="X54" s="258" t="s">
        <v>112</v>
      </c>
      <c r="Y54" s="259" t="s">
        <v>113</v>
      </c>
      <c r="Z54" s="665">
        <f>IF('様式11-5'!U$1="LPG",0,N$22)</f>
        <v>0</v>
      </c>
      <c r="AA54" s="665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54"/>
      <c r="S55" s="254"/>
      <c r="T55" s="25"/>
      <c r="U55" s="25"/>
      <c r="V55" s="25"/>
      <c r="W55" s="165"/>
      <c r="X55" s="260"/>
      <c r="Y55" s="260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52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251" t="s">
        <v>51</v>
      </c>
      <c r="AD56" s="28"/>
      <c r="AE56" s="28"/>
      <c r="AF56" s="28"/>
      <c r="AG56" s="28"/>
      <c r="AH56" s="640">
        <f>IF($AH$22+$AH$23=0,0,R56*AB56)</f>
        <v>1320</v>
      </c>
      <c r="AI56" s="641"/>
      <c r="AJ56" s="641"/>
      <c r="AK56" s="642"/>
      <c r="AL56" s="617" t="s">
        <v>52</v>
      </c>
      <c r="AM56" s="618"/>
      <c r="AN56" s="594">
        <f>AN45</f>
        <v>6</v>
      </c>
      <c r="AO56" s="595"/>
      <c r="AP56" s="613" t="s">
        <v>45</v>
      </c>
      <c r="AQ56" s="614"/>
      <c r="AR56" s="625">
        <f>AN56*X58/1000</f>
        <v>9.938823529411768E-2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16.564705882352946</v>
      </c>
      <c r="Y57" s="644"/>
      <c r="Z57" s="23" t="s">
        <v>46</v>
      </c>
      <c r="AA57" s="23"/>
      <c r="AB57" s="23"/>
      <c r="AC57" s="24"/>
      <c r="AD57" s="23"/>
      <c r="AE57" s="23"/>
      <c r="AF57" s="23"/>
      <c r="AG57" s="23"/>
      <c r="AH57" s="558">
        <f>R57*X57</f>
        <v>7288.4705882352964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54"/>
      <c r="S58" s="254"/>
      <c r="T58" s="25"/>
      <c r="U58" s="25"/>
      <c r="V58" s="25"/>
      <c r="W58" s="165"/>
      <c r="X58" s="716">
        <f>SUM(X57:Y57)</f>
        <v>16.564705882352946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8608.4705882352973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1285.8699999999999</v>
      </c>
      <c r="S60" s="548"/>
      <c r="T60" s="28" t="s">
        <v>71</v>
      </c>
      <c r="U60" s="28"/>
      <c r="V60" s="28"/>
      <c r="W60" s="549">
        <f>$W$27</f>
        <v>0.78323529411764725</v>
      </c>
      <c r="X60" s="549"/>
      <c r="Y60" s="28" t="s">
        <v>70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856.06795250000016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72</v>
      </c>
      <c r="AQ60" s="662"/>
      <c r="AR60" s="663">
        <f>AN60*AB63/1000</f>
        <v>2.4187630000000002E-2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62</v>
      </c>
      <c r="U61" s="149">
        <f>$U$28</f>
        <v>7.29</v>
      </c>
      <c r="V61" s="148" t="s">
        <v>62</v>
      </c>
      <c r="W61" s="150">
        <f>$W$28</f>
        <v>3.45</v>
      </c>
      <c r="X61" s="151" t="s">
        <v>64</v>
      </c>
      <c r="Y61" s="24" t="s">
        <v>61</v>
      </c>
      <c r="Z61" s="151"/>
      <c r="AA61" s="32"/>
      <c r="AB61" s="702">
        <f>P$16+P$18+P$20</f>
        <v>53.870000000000005</v>
      </c>
      <c r="AC61" s="702"/>
      <c r="AD61" s="24" t="s">
        <v>63</v>
      </c>
      <c r="AE61" s="24"/>
      <c r="AF61" s="24"/>
      <c r="AG61" s="152"/>
      <c r="AH61" s="648">
        <f>(S61+U61+W61)*AB61</f>
        <v>1305.2701000000002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255"/>
      <c r="J62" s="252"/>
      <c r="K62" s="252"/>
      <c r="L62" s="259"/>
      <c r="M62" s="259"/>
      <c r="N62" s="259"/>
      <c r="O62" s="259"/>
      <c r="P62" s="259"/>
      <c r="Q62" s="2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253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54"/>
      <c r="S63" s="254"/>
      <c r="T63" s="25"/>
      <c r="U63" s="25"/>
      <c r="V63" s="25"/>
      <c r="W63" s="165"/>
      <c r="X63" s="260"/>
      <c r="Y63" s="260"/>
      <c r="Z63" s="167"/>
      <c r="AA63" s="168"/>
      <c r="AB63" s="711">
        <f>SUM(AB61:AC61)</f>
        <v>53.870000000000005</v>
      </c>
      <c r="AC63" s="711"/>
      <c r="AD63" s="169" t="s">
        <v>57</v>
      </c>
      <c r="AE63" s="25"/>
      <c r="AF63" s="25"/>
      <c r="AG63" s="25"/>
      <c r="AH63" s="712">
        <f>SUM(AH60:AK61)</f>
        <v>2161.3380525000002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111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251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45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111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110</v>
      </c>
      <c r="W65" s="173">
        <f>W54</f>
        <v>14.55</v>
      </c>
      <c r="X65" s="258" t="s">
        <v>112</v>
      </c>
      <c r="Y65" s="259" t="s">
        <v>113</v>
      </c>
      <c r="Z65" s="719">
        <f>IF('様式11-5'!U$1="LPG",0,P$22)</f>
        <v>0</v>
      </c>
      <c r="AA65" s="719"/>
      <c r="AB65" s="23" t="s">
        <v>46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54"/>
      <c r="S66" s="254"/>
      <c r="T66" s="25"/>
      <c r="U66" s="25"/>
      <c r="V66" s="25"/>
      <c r="W66" s="165"/>
      <c r="X66" s="260"/>
      <c r="Y66" s="260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52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251" t="s">
        <v>51</v>
      </c>
      <c r="AD67" s="28"/>
      <c r="AE67" s="28"/>
      <c r="AF67" s="28"/>
      <c r="AG67" s="28"/>
      <c r="AH67" s="640">
        <f>IF($AH$22+$AH$23=0,0,R67*AB67)</f>
        <v>1320</v>
      </c>
      <c r="AI67" s="641"/>
      <c r="AJ67" s="641"/>
      <c r="AK67" s="642"/>
      <c r="AL67" s="617" t="s">
        <v>52</v>
      </c>
      <c r="AM67" s="618"/>
      <c r="AN67" s="594">
        <f>AN34</f>
        <v>6</v>
      </c>
      <c r="AO67" s="595"/>
      <c r="AP67" s="613" t="s">
        <v>45</v>
      </c>
      <c r="AQ67" s="614"/>
      <c r="AR67" s="625">
        <f>AN67*X69/1000</f>
        <v>3.6705882352941172E-2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6.117647058823529</v>
      </c>
      <c r="Y68" s="644"/>
      <c r="Z68" s="23" t="s">
        <v>46</v>
      </c>
      <c r="AA68" s="23"/>
      <c r="AB68" s="23"/>
      <c r="AC68" s="24"/>
      <c r="AD68" s="23"/>
      <c r="AE68" s="23"/>
      <c r="AF68" s="23"/>
      <c r="AG68" s="23"/>
      <c r="AH68" s="558">
        <f>R68*X68</f>
        <v>2691.7647058823527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54"/>
      <c r="S69" s="254"/>
      <c r="T69" s="25"/>
      <c r="U69" s="25"/>
      <c r="V69" s="25"/>
      <c r="W69" s="165"/>
      <c r="X69" s="716">
        <f>SUM(X68:Y68)</f>
        <v>6.117647058823529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4011.7647058823527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1285.8699999999999</v>
      </c>
      <c r="S71" s="548"/>
      <c r="T71" s="28" t="s">
        <v>71</v>
      </c>
      <c r="U71" s="28"/>
      <c r="V71" s="28"/>
      <c r="W71" s="549">
        <f>$W$27</f>
        <v>0.78323529411764725</v>
      </c>
      <c r="X71" s="549"/>
      <c r="Y71" s="28" t="s">
        <v>70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856.06795250000016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72</v>
      </c>
      <c r="AQ71" s="662"/>
      <c r="AR71" s="663">
        <f>AN71*AB74/1000</f>
        <v>5.8951058823529428E-3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157</v>
      </c>
      <c r="S72" s="33">
        <f>IF(P72="夏季",料金単価!$D$3,料金単価!$E$3)</f>
        <v>12.63</v>
      </c>
      <c r="T72" s="148" t="s">
        <v>62</v>
      </c>
      <c r="U72" s="149">
        <f>$U$28</f>
        <v>7.29</v>
      </c>
      <c r="V72" s="148" t="s">
        <v>62</v>
      </c>
      <c r="W72" s="150">
        <f>$W$28</f>
        <v>3.45</v>
      </c>
      <c r="X72" s="151" t="s">
        <v>64</v>
      </c>
      <c r="Y72" s="24" t="s">
        <v>61</v>
      </c>
      <c r="Z72" s="151"/>
      <c r="AA72" s="32"/>
      <c r="AB72" s="702">
        <f>R$17+R$19+R$21</f>
        <v>13.129411764705885</v>
      </c>
      <c r="AC72" s="702"/>
      <c r="AD72" s="24" t="s">
        <v>63</v>
      </c>
      <c r="AE72" s="24"/>
      <c r="AF72" s="24"/>
      <c r="AG72" s="152"/>
      <c r="AH72" s="648">
        <f>(S72+U72+W72)*AB72</f>
        <v>306.83435294117658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255"/>
      <c r="J73" s="252"/>
      <c r="K73" s="252"/>
      <c r="L73" s="259"/>
      <c r="M73" s="259"/>
      <c r="N73" s="259"/>
      <c r="O73" s="259"/>
      <c r="P73" s="259"/>
      <c r="Q73" s="2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253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54"/>
      <c r="S74" s="254"/>
      <c r="T74" s="25"/>
      <c r="U74" s="25"/>
      <c r="V74" s="25"/>
      <c r="W74" s="165"/>
      <c r="X74" s="260"/>
      <c r="Y74" s="260"/>
      <c r="Z74" s="167"/>
      <c r="AA74" s="168"/>
      <c r="AB74" s="711">
        <f>SUM(AB72:AC72)</f>
        <v>13.129411764705885</v>
      </c>
      <c r="AC74" s="711"/>
      <c r="AD74" s="169" t="s">
        <v>57</v>
      </c>
      <c r="AE74" s="25"/>
      <c r="AF74" s="25"/>
      <c r="AG74" s="25"/>
      <c r="AH74" s="712">
        <f>SUM(AH71:AK72)</f>
        <v>1162.9023054411768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111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251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45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111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110</v>
      </c>
      <c r="W76" s="173">
        <f>W65</f>
        <v>14.55</v>
      </c>
      <c r="X76" s="258" t="s">
        <v>112</v>
      </c>
      <c r="Y76" s="259" t="s">
        <v>113</v>
      </c>
      <c r="Z76" s="665">
        <f>IF('様式11-5'!U$1="LPG",0,R$22)</f>
        <v>0</v>
      </c>
      <c r="AA76" s="665"/>
      <c r="AB76" s="23" t="s">
        <v>46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54"/>
      <c r="S77" s="254"/>
      <c r="T77" s="25"/>
      <c r="U77" s="25"/>
      <c r="V77" s="25"/>
      <c r="W77" s="165"/>
      <c r="X77" s="260"/>
      <c r="Y77" s="260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52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251" t="s">
        <v>51</v>
      </c>
      <c r="AD78" s="28"/>
      <c r="AE78" s="28"/>
      <c r="AF78" s="28"/>
      <c r="AG78" s="28"/>
      <c r="AH78" s="640">
        <f>IF($AH$22+$AH$23=0,0,R78*AB78)</f>
        <v>1320</v>
      </c>
      <c r="AI78" s="641"/>
      <c r="AJ78" s="641"/>
      <c r="AK78" s="642"/>
      <c r="AL78" s="617" t="s">
        <v>52</v>
      </c>
      <c r="AM78" s="618"/>
      <c r="AN78" s="594">
        <f>AN45</f>
        <v>6</v>
      </c>
      <c r="AO78" s="595"/>
      <c r="AP78" s="613" t="s">
        <v>45</v>
      </c>
      <c r="AQ78" s="614"/>
      <c r="AR78" s="625">
        <f>AN78*X80/1000</f>
        <v>3.6705882352941172E-2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6.117647058823529</v>
      </c>
      <c r="Y79" s="644"/>
      <c r="Z79" s="23" t="s">
        <v>46</v>
      </c>
      <c r="AA79" s="23"/>
      <c r="AB79" s="23"/>
      <c r="AC79" s="24"/>
      <c r="AD79" s="23"/>
      <c r="AE79" s="23"/>
      <c r="AF79" s="23"/>
      <c r="AG79" s="23"/>
      <c r="AH79" s="558">
        <f>R79*X79</f>
        <v>2691.7647058823527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54"/>
      <c r="S80" s="254"/>
      <c r="T80" s="25"/>
      <c r="U80" s="25"/>
      <c r="V80" s="25"/>
      <c r="W80" s="165"/>
      <c r="X80" s="716">
        <f>SUM(X79:Y79)</f>
        <v>6.117647058823529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4011.7647058823527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1285.8699999999999</v>
      </c>
      <c r="S82" s="548"/>
      <c r="T82" s="28" t="s">
        <v>71</v>
      </c>
      <c r="U82" s="28"/>
      <c r="V82" s="28"/>
      <c r="W82" s="549">
        <f>$W$27</f>
        <v>0.78323529411764725</v>
      </c>
      <c r="X82" s="549"/>
      <c r="Y82" s="28" t="s">
        <v>70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856.06795250000016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72</v>
      </c>
      <c r="AQ82" s="662"/>
      <c r="AR82" s="663">
        <f>AN82*AB85/1000</f>
        <v>5.7049411764705897E-3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197</v>
      </c>
      <c r="Q83" s="646"/>
      <c r="R83" s="34" t="s">
        <v>157</v>
      </c>
      <c r="S83" s="33">
        <f>IF(P83="夏季",料金単価!$D$3,料金単価!$E$3)</f>
        <v>12.63</v>
      </c>
      <c r="T83" s="148" t="s">
        <v>62</v>
      </c>
      <c r="U83" s="149">
        <f>$U$28</f>
        <v>7.29</v>
      </c>
      <c r="V83" s="148" t="s">
        <v>62</v>
      </c>
      <c r="W83" s="150">
        <f>$W$28</f>
        <v>3.45</v>
      </c>
      <c r="X83" s="151" t="s">
        <v>64</v>
      </c>
      <c r="Y83" s="24" t="s">
        <v>61</v>
      </c>
      <c r="Z83" s="151"/>
      <c r="AA83" s="32"/>
      <c r="AB83" s="702">
        <f>T$17+T$19+T$21</f>
        <v>12.705882352941179</v>
      </c>
      <c r="AC83" s="702"/>
      <c r="AD83" s="24" t="s">
        <v>63</v>
      </c>
      <c r="AE83" s="24"/>
      <c r="AF83" s="24"/>
      <c r="AG83" s="152"/>
      <c r="AH83" s="648">
        <f>(S83+U83+W83)*AB83</f>
        <v>296.93647058823535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255"/>
      <c r="J84" s="252"/>
      <c r="K84" s="252"/>
      <c r="L84" s="259"/>
      <c r="M84" s="259"/>
      <c r="N84" s="259"/>
      <c r="O84" s="259"/>
      <c r="P84" s="259"/>
      <c r="Q84" s="2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253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54"/>
      <c r="S85" s="254"/>
      <c r="T85" s="25"/>
      <c r="U85" s="25"/>
      <c r="V85" s="25"/>
      <c r="W85" s="165"/>
      <c r="X85" s="260"/>
      <c r="Y85" s="260"/>
      <c r="Z85" s="167"/>
      <c r="AA85" s="168"/>
      <c r="AB85" s="711">
        <f>SUM(AB83:AC83)</f>
        <v>12.705882352941179</v>
      </c>
      <c r="AC85" s="711"/>
      <c r="AD85" s="169" t="s">
        <v>57</v>
      </c>
      <c r="AE85" s="25"/>
      <c r="AF85" s="25"/>
      <c r="AG85" s="25"/>
      <c r="AH85" s="712">
        <f>SUM(AH82:AK83)</f>
        <v>1153.0044230882354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111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251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45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111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110</v>
      </c>
      <c r="W87" s="173">
        <f>W76</f>
        <v>14.55</v>
      </c>
      <c r="X87" s="258" t="s">
        <v>112</v>
      </c>
      <c r="Y87" s="259" t="s">
        <v>113</v>
      </c>
      <c r="Z87" s="665">
        <f>IF('様式11-5'!U$1="LPG",0,T$22)</f>
        <v>0</v>
      </c>
      <c r="AA87" s="665"/>
      <c r="AB87" s="23" t="s">
        <v>46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54"/>
      <c r="S88" s="254"/>
      <c r="T88" s="25"/>
      <c r="U88" s="25"/>
      <c r="V88" s="25"/>
      <c r="W88" s="165"/>
      <c r="X88" s="260"/>
      <c r="Y88" s="260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52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251" t="s">
        <v>51</v>
      </c>
      <c r="AD89" s="28"/>
      <c r="AE89" s="28"/>
      <c r="AF89" s="28"/>
      <c r="AG89" s="28"/>
      <c r="AH89" s="640">
        <f>IF($AH$22+$AH$23=0,0,R89*AB89)</f>
        <v>1320</v>
      </c>
      <c r="AI89" s="641"/>
      <c r="AJ89" s="641"/>
      <c r="AK89" s="642"/>
      <c r="AL89" s="617" t="s">
        <v>52</v>
      </c>
      <c r="AM89" s="618"/>
      <c r="AN89" s="594">
        <f>AN56</f>
        <v>6</v>
      </c>
      <c r="AO89" s="595"/>
      <c r="AP89" s="613" t="s">
        <v>45</v>
      </c>
      <c r="AQ89" s="614"/>
      <c r="AR89" s="625">
        <f>AN89*X91/1000</f>
        <v>3.6705882352941172E-2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6.117647058823529</v>
      </c>
      <c r="Y90" s="644"/>
      <c r="Z90" s="23" t="s">
        <v>46</v>
      </c>
      <c r="AA90" s="23"/>
      <c r="AB90" s="23"/>
      <c r="AC90" s="24"/>
      <c r="AD90" s="23"/>
      <c r="AE90" s="23"/>
      <c r="AF90" s="23"/>
      <c r="AG90" s="23"/>
      <c r="AH90" s="558">
        <f>R90*X90</f>
        <v>2691.7647058823527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54"/>
      <c r="S91" s="254"/>
      <c r="T91" s="25"/>
      <c r="U91" s="25"/>
      <c r="V91" s="25"/>
      <c r="W91" s="165"/>
      <c r="X91" s="716">
        <f>SUM(X90:Y90)</f>
        <v>6.117647058823529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4011.7647058823527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1285.8699999999999</v>
      </c>
      <c r="S93" s="548"/>
      <c r="T93" s="28" t="s">
        <v>71</v>
      </c>
      <c r="U93" s="28"/>
      <c r="V93" s="28"/>
      <c r="W93" s="549">
        <f>$W$27</f>
        <v>0.78323529411764725</v>
      </c>
      <c r="X93" s="549"/>
      <c r="Y93" s="28" t="s">
        <v>70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856.06795250000016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72</v>
      </c>
      <c r="AQ93" s="662"/>
      <c r="AR93" s="663">
        <f>AN93*AB96/1000</f>
        <v>0.15874844000000002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203</v>
      </c>
      <c r="M94" s="618"/>
      <c r="N94" s="618"/>
      <c r="O94" s="678"/>
      <c r="P94" s="643" t="s">
        <v>197</v>
      </c>
      <c r="Q94" s="646"/>
      <c r="R94" s="34" t="s">
        <v>157</v>
      </c>
      <c r="S94" s="33">
        <f>IF(P94="夏季",料金単価!$D$3,料金単価!$E$3)</f>
        <v>12.63</v>
      </c>
      <c r="T94" s="148" t="s">
        <v>62</v>
      </c>
      <c r="U94" s="149">
        <f>$U$28</f>
        <v>7.29</v>
      </c>
      <c r="V94" s="148" t="s">
        <v>62</v>
      </c>
      <c r="W94" s="150">
        <f>$W$28</f>
        <v>3.45</v>
      </c>
      <c r="X94" s="151" t="s">
        <v>64</v>
      </c>
      <c r="Y94" s="24" t="s">
        <v>61</v>
      </c>
      <c r="Z94" s="151"/>
      <c r="AA94" s="32"/>
      <c r="AB94" s="702">
        <f>V$17+V$19+V$21</f>
        <v>353.56000000000006</v>
      </c>
      <c r="AC94" s="702"/>
      <c r="AD94" s="24" t="s">
        <v>63</v>
      </c>
      <c r="AE94" s="24"/>
      <c r="AF94" s="24"/>
      <c r="AG94" s="152"/>
      <c r="AH94" s="648">
        <f>(S94+U94+W94)*AB94</f>
        <v>8262.6972000000023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255"/>
      <c r="J95" s="252"/>
      <c r="K95" s="252"/>
      <c r="L95" s="259"/>
      <c r="M95" s="259"/>
      <c r="N95" s="259"/>
      <c r="O95" s="259"/>
      <c r="P95" s="259"/>
      <c r="Q95" s="2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253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54"/>
      <c r="S96" s="254"/>
      <c r="T96" s="25"/>
      <c r="U96" s="25"/>
      <c r="V96" s="25"/>
      <c r="W96" s="165"/>
      <c r="X96" s="260"/>
      <c r="Y96" s="260"/>
      <c r="Z96" s="167"/>
      <c r="AA96" s="168"/>
      <c r="AB96" s="711">
        <f>SUM(AB94:AC94)</f>
        <v>353.56000000000006</v>
      </c>
      <c r="AC96" s="711"/>
      <c r="AD96" s="169" t="s">
        <v>57</v>
      </c>
      <c r="AE96" s="25"/>
      <c r="AF96" s="25"/>
      <c r="AG96" s="25"/>
      <c r="AH96" s="712">
        <f>SUM(AH93:AK94)</f>
        <v>9118.7651525000019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111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251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45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111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110</v>
      </c>
      <c r="W98" s="173">
        <f>W87</f>
        <v>14.55</v>
      </c>
      <c r="X98" s="258" t="s">
        <v>112</v>
      </c>
      <c r="Y98" s="259" t="s">
        <v>113</v>
      </c>
      <c r="Z98" s="665">
        <f>IF('様式11-5'!U$1="LPG",0,V$23)</f>
        <v>0</v>
      </c>
      <c r="AA98" s="665"/>
      <c r="AB98" s="23" t="s">
        <v>46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54"/>
      <c r="S99" s="254"/>
      <c r="T99" s="25"/>
      <c r="U99" s="25"/>
      <c r="V99" s="25"/>
      <c r="W99" s="165"/>
      <c r="X99" s="260"/>
      <c r="Y99" s="260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52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251" t="s">
        <v>51</v>
      </c>
      <c r="AD100" s="28"/>
      <c r="AE100" s="28"/>
      <c r="AF100" s="28"/>
      <c r="AG100" s="28"/>
      <c r="AH100" s="640">
        <f>IF($AH$22+$AH$23=0,0,R100*AB100)</f>
        <v>1320</v>
      </c>
      <c r="AI100" s="641"/>
      <c r="AJ100" s="641"/>
      <c r="AK100" s="642"/>
      <c r="AL100" s="617" t="s">
        <v>52</v>
      </c>
      <c r="AM100" s="618"/>
      <c r="AN100" s="594">
        <f>AN34</f>
        <v>6</v>
      </c>
      <c r="AO100" s="595"/>
      <c r="AP100" s="613" t="s">
        <v>45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46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54"/>
      <c r="S102" s="254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1320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1285.8699999999999</v>
      </c>
      <c r="S104" s="548"/>
      <c r="T104" s="28" t="s">
        <v>71</v>
      </c>
      <c r="U104" s="28"/>
      <c r="V104" s="28"/>
      <c r="W104" s="549">
        <f>$W$27</f>
        <v>0.78323529411764725</v>
      </c>
      <c r="X104" s="549"/>
      <c r="Y104" s="28" t="s">
        <v>70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856.06795250000016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72</v>
      </c>
      <c r="AQ104" s="662"/>
      <c r="AR104" s="663">
        <f>AN104*AB107/1000</f>
        <v>0.1990158692941176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203</v>
      </c>
      <c r="M105" s="618"/>
      <c r="N105" s="618"/>
      <c r="O105" s="678"/>
      <c r="P105" s="643" t="s">
        <v>197</v>
      </c>
      <c r="Q105" s="646"/>
      <c r="R105" s="34" t="s">
        <v>157</v>
      </c>
      <c r="S105" s="33">
        <f>IF(P105="夏季",料金単価!$D$3,料金単価!$E$3)</f>
        <v>12.63</v>
      </c>
      <c r="T105" s="148" t="s">
        <v>62</v>
      </c>
      <c r="U105" s="149">
        <f>$U$28</f>
        <v>7.29</v>
      </c>
      <c r="V105" s="148" t="s">
        <v>62</v>
      </c>
      <c r="W105" s="150">
        <f>$W$28</f>
        <v>3.45</v>
      </c>
      <c r="X105" s="151" t="s">
        <v>64</v>
      </c>
      <c r="Y105" s="24" t="s">
        <v>61</v>
      </c>
      <c r="Z105" s="151"/>
      <c r="AA105" s="32"/>
      <c r="AB105" s="702">
        <f>X$17+X$19+X$21</f>
        <v>443.24247058823522</v>
      </c>
      <c r="AC105" s="702"/>
      <c r="AD105" s="24" t="s">
        <v>63</v>
      </c>
      <c r="AE105" s="24"/>
      <c r="AF105" s="24"/>
      <c r="AG105" s="152"/>
      <c r="AH105" s="648">
        <f>(S105+U105+W105)*AB105</f>
        <v>10358.576537647057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255"/>
      <c r="J106" s="252"/>
      <c r="K106" s="252"/>
      <c r="L106" s="259"/>
      <c r="M106" s="259"/>
      <c r="N106" s="259"/>
      <c r="O106" s="259"/>
      <c r="P106" s="259"/>
      <c r="Q106" s="2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253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54"/>
      <c r="S107" s="254"/>
      <c r="T107" s="25"/>
      <c r="U107" s="25"/>
      <c r="V107" s="25"/>
      <c r="W107" s="165"/>
      <c r="X107" s="260"/>
      <c r="Y107" s="260"/>
      <c r="Z107" s="167"/>
      <c r="AA107" s="168"/>
      <c r="AB107" s="711">
        <f>SUM(AB105:AC105)</f>
        <v>443.24247058823522</v>
      </c>
      <c r="AC107" s="711"/>
      <c r="AD107" s="169" t="s">
        <v>57</v>
      </c>
      <c r="AE107" s="25"/>
      <c r="AF107" s="25"/>
      <c r="AG107" s="25"/>
      <c r="AH107" s="712">
        <f>SUM(AH104:AK105)</f>
        <v>11214.644490147057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111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251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45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111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110</v>
      </c>
      <c r="W109" s="173">
        <f>W98</f>
        <v>14.55</v>
      </c>
      <c r="X109" s="258" t="s">
        <v>112</v>
      </c>
      <c r="Y109" s="259" t="s">
        <v>113</v>
      </c>
      <c r="Z109" s="665">
        <f>IF('様式11-5'!U$1="LPG",0,X$23)</f>
        <v>0</v>
      </c>
      <c r="AA109" s="665"/>
      <c r="AB109" s="23" t="s">
        <v>46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54"/>
      <c r="S110" s="254"/>
      <c r="T110" s="25"/>
      <c r="U110" s="25"/>
      <c r="V110" s="25"/>
      <c r="W110" s="165"/>
      <c r="X110" s="260"/>
      <c r="Y110" s="260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52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251" t="s">
        <v>51</v>
      </c>
      <c r="AD111" s="28"/>
      <c r="AE111" s="28"/>
      <c r="AF111" s="28"/>
      <c r="AG111" s="28"/>
      <c r="AH111" s="640">
        <f>IF($AH$22+$AH$23=0,0,R111*AB111)</f>
        <v>1320</v>
      </c>
      <c r="AI111" s="641"/>
      <c r="AJ111" s="641"/>
      <c r="AK111" s="642"/>
      <c r="AL111" s="617" t="s">
        <v>52</v>
      </c>
      <c r="AM111" s="618"/>
      <c r="AN111" s="594">
        <f>AN34</f>
        <v>6</v>
      </c>
      <c r="AO111" s="595"/>
      <c r="AP111" s="613" t="s">
        <v>45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46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54"/>
      <c r="S113" s="254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1320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1285.8699999999999</v>
      </c>
      <c r="S115" s="548"/>
      <c r="T115" s="28" t="s">
        <v>71</v>
      </c>
      <c r="U115" s="28"/>
      <c r="V115" s="28"/>
      <c r="W115" s="549">
        <f>$W$27</f>
        <v>0.78323529411764725</v>
      </c>
      <c r="X115" s="549"/>
      <c r="Y115" s="28" t="s">
        <v>70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856.06795250000016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72</v>
      </c>
      <c r="AQ115" s="662"/>
      <c r="AR115" s="663">
        <f>AN115*AB118/1000</f>
        <v>0.1882811244705882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197</v>
      </c>
      <c r="Q116" s="646"/>
      <c r="R116" s="34" t="s">
        <v>157</v>
      </c>
      <c r="S116" s="33">
        <f>IF(P116="夏季",料金単価!$D$3,料金単価!$E$3)</f>
        <v>12.63</v>
      </c>
      <c r="T116" s="148" t="s">
        <v>62</v>
      </c>
      <c r="U116" s="149">
        <f>$U$28</f>
        <v>7.29</v>
      </c>
      <c r="V116" s="148" t="s">
        <v>62</v>
      </c>
      <c r="W116" s="150">
        <f>$W$28</f>
        <v>3.45</v>
      </c>
      <c r="X116" s="151" t="s">
        <v>64</v>
      </c>
      <c r="Y116" s="24" t="s">
        <v>61</v>
      </c>
      <c r="Z116" s="151"/>
      <c r="AA116" s="32"/>
      <c r="AB116" s="702">
        <f>Z$17+Z$19+Z21</f>
        <v>419.33435294117641</v>
      </c>
      <c r="AC116" s="702"/>
      <c r="AD116" s="24" t="s">
        <v>63</v>
      </c>
      <c r="AE116" s="24"/>
      <c r="AF116" s="24"/>
      <c r="AG116" s="152"/>
      <c r="AH116" s="648">
        <f>(S116+U116+W116)*AB116</f>
        <v>9799.8438282352927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255"/>
      <c r="J117" s="252"/>
      <c r="K117" s="252"/>
      <c r="L117" s="259"/>
      <c r="M117" s="259"/>
      <c r="N117" s="259"/>
      <c r="O117" s="259"/>
      <c r="P117" s="259"/>
      <c r="Q117" s="2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253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54"/>
      <c r="S118" s="254"/>
      <c r="T118" s="25"/>
      <c r="U118" s="25"/>
      <c r="V118" s="25"/>
      <c r="W118" s="165"/>
      <c r="X118" s="260"/>
      <c r="Y118" s="260"/>
      <c r="Z118" s="167"/>
      <c r="AA118" s="168"/>
      <c r="AB118" s="711">
        <f>SUM(AB116:AC116)</f>
        <v>419.33435294117641</v>
      </c>
      <c r="AC118" s="711"/>
      <c r="AD118" s="169" t="s">
        <v>57</v>
      </c>
      <c r="AE118" s="25"/>
      <c r="AF118" s="25"/>
      <c r="AG118" s="25"/>
      <c r="AH118" s="712">
        <f>SUM(AH115:AK116)</f>
        <v>10655.911780735292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111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251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45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111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110</v>
      </c>
      <c r="W120" s="173">
        <f>W109</f>
        <v>14.55</v>
      </c>
      <c r="X120" s="258" t="s">
        <v>112</v>
      </c>
      <c r="Y120" s="259" t="s">
        <v>113</v>
      </c>
      <c r="Z120" s="665">
        <f>IF('様式11-5'!U$1="LPG",0,Z$23)</f>
        <v>0</v>
      </c>
      <c r="AA120" s="665"/>
      <c r="AB120" s="23" t="s">
        <v>46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54"/>
      <c r="S121" s="254"/>
      <c r="T121" s="25"/>
      <c r="U121" s="25"/>
      <c r="V121" s="25"/>
      <c r="W121" s="165"/>
      <c r="X121" s="260"/>
      <c r="Y121" s="260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52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251" t="s">
        <v>51</v>
      </c>
      <c r="AD122" s="28"/>
      <c r="AE122" s="28"/>
      <c r="AF122" s="28"/>
      <c r="AG122" s="28"/>
      <c r="AH122" s="640">
        <f>IF($AH$22+$AH$23=0,0,R122*AB122)</f>
        <v>1320</v>
      </c>
      <c r="AI122" s="641"/>
      <c r="AJ122" s="641"/>
      <c r="AK122" s="642"/>
      <c r="AL122" s="617" t="s">
        <v>52</v>
      </c>
      <c r="AM122" s="618"/>
      <c r="AN122" s="594">
        <f>AN34</f>
        <v>6</v>
      </c>
      <c r="AO122" s="595"/>
      <c r="AP122" s="613" t="s">
        <v>45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46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54"/>
      <c r="S124" s="254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1320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1285.8699999999999</v>
      </c>
      <c r="S126" s="548"/>
      <c r="T126" s="28" t="s">
        <v>71</v>
      </c>
      <c r="U126" s="28"/>
      <c r="V126" s="28"/>
      <c r="W126" s="549">
        <f>$W$27</f>
        <v>0.78323529411764725</v>
      </c>
      <c r="X126" s="549"/>
      <c r="Y126" s="28" t="s">
        <v>70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856.06795250000016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72</v>
      </c>
      <c r="AQ126" s="662"/>
      <c r="AR126" s="663">
        <f>AN126*AB129/1000</f>
        <v>8.9357655764705862E-2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203</v>
      </c>
      <c r="M127" s="618"/>
      <c r="N127" s="618"/>
      <c r="O127" s="678"/>
      <c r="P127" s="643" t="s">
        <v>197</v>
      </c>
      <c r="Q127" s="646"/>
      <c r="R127" s="34" t="s">
        <v>157</v>
      </c>
      <c r="S127" s="33">
        <f>IF(P127="夏季",料金単価!$D$3,料金単価!$E$3)</f>
        <v>12.63</v>
      </c>
      <c r="T127" s="148" t="s">
        <v>62</v>
      </c>
      <c r="U127" s="149">
        <f>$U$28</f>
        <v>7.29</v>
      </c>
      <c r="V127" s="148" t="s">
        <v>62</v>
      </c>
      <c r="W127" s="150">
        <f>$W$28</f>
        <v>3.45</v>
      </c>
      <c r="X127" s="151" t="s">
        <v>64</v>
      </c>
      <c r="Y127" s="24" t="s">
        <v>61</v>
      </c>
      <c r="Z127" s="151"/>
      <c r="AA127" s="32"/>
      <c r="AB127" s="702">
        <f>AB$17+AB$19+AB21</f>
        <v>199.01482352941173</v>
      </c>
      <c r="AC127" s="702"/>
      <c r="AD127" s="24" t="s">
        <v>63</v>
      </c>
      <c r="AE127" s="24"/>
      <c r="AF127" s="24"/>
      <c r="AG127" s="152"/>
      <c r="AH127" s="648">
        <f>(S127+U127+W127)*AB127</f>
        <v>4650.9764258823525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255"/>
      <c r="J128" s="252"/>
      <c r="K128" s="252"/>
      <c r="L128" s="259"/>
      <c r="M128" s="259"/>
      <c r="N128" s="259"/>
      <c r="O128" s="259"/>
      <c r="P128" s="259"/>
      <c r="Q128" s="2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253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54"/>
      <c r="S129" s="254"/>
      <c r="T129" s="25"/>
      <c r="U129" s="25"/>
      <c r="V129" s="25"/>
      <c r="W129" s="165"/>
      <c r="X129" s="260"/>
      <c r="Y129" s="260"/>
      <c r="Z129" s="167"/>
      <c r="AA129" s="168"/>
      <c r="AB129" s="711">
        <f>SUM(AB127:AC127)</f>
        <v>199.01482352941173</v>
      </c>
      <c r="AC129" s="711"/>
      <c r="AD129" s="169" t="s">
        <v>57</v>
      </c>
      <c r="AE129" s="25"/>
      <c r="AF129" s="25"/>
      <c r="AG129" s="25"/>
      <c r="AH129" s="712">
        <f>SUM(AH126:AK127)</f>
        <v>5507.044378382353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111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251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45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111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110</v>
      </c>
      <c r="W131" s="173">
        <f>W120</f>
        <v>14.55</v>
      </c>
      <c r="X131" s="258" t="s">
        <v>112</v>
      </c>
      <c r="Y131" s="259" t="s">
        <v>113</v>
      </c>
      <c r="Z131" s="665">
        <f>IF('様式11-5'!U$1="LPG",0,AB$23)</f>
        <v>0</v>
      </c>
      <c r="AA131" s="665"/>
      <c r="AB131" s="23" t="s">
        <v>46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54"/>
      <c r="S132" s="254"/>
      <c r="T132" s="25"/>
      <c r="U132" s="25"/>
      <c r="V132" s="25"/>
      <c r="W132" s="165"/>
      <c r="X132" s="260"/>
      <c r="Y132" s="260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52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251" t="s">
        <v>51</v>
      </c>
      <c r="AD133" s="28"/>
      <c r="AE133" s="28"/>
      <c r="AF133" s="28"/>
      <c r="AG133" s="28"/>
      <c r="AH133" s="640">
        <f>IF($AH$22+$AH$23=0,0,R133*AB133)</f>
        <v>1320</v>
      </c>
      <c r="AI133" s="641"/>
      <c r="AJ133" s="641"/>
      <c r="AK133" s="642"/>
      <c r="AL133" s="617" t="s">
        <v>52</v>
      </c>
      <c r="AM133" s="618"/>
      <c r="AN133" s="594">
        <f>AN34</f>
        <v>6</v>
      </c>
      <c r="AO133" s="595"/>
      <c r="AP133" s="613" t="s">
        <v>45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46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54"/>
      <c r="S135" s="254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1320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1285.8699999999999</v>
      </c>
      <c r="S137" s="548"/>
      <c r="T137" s="28" t="s">
        <v>71</v>
      </c>
      <c r="U137" s="28"/>
      <c r="V137" s="28"/>
      <c r="W137" s="549">
        <f>$W$27</f>
        <v>0.78323529411764725</v>
      </c>
      <c r="X137" s="549"/>
      <c r="Y137" s="28" t="s">
        <v>70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856.06795250000016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72</v>
      </c>
      <c r="AQ137" s="662"/>
      <c r="AR137" s="663">
        <f>AN137*AB140/1000</f>
        <v>5.7049411764705897E-3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203</v>
      </c>
      <c r="M138" s="618"/>
      <c r="N138" s="618"/>
      <c r="O138" s="678"/>
      <c r="P138" s="643" t="s">
        <v>197</v>
      </c>
      <c r="Q138" s="646"/>
      <c r="R138" s="34" t="s">
        <v>157</v>
      </c>
      <c r="S138" s="33">
        <f>IF(P138="夏季",料金単価!$D$3,料金単価!$E$3)</f>
        <v>12.63</v>
      </c>
      <c r="T138" s="148" t="s">
        <v>62</v>
      </c>
      <c r="U138" s="149">
        <f>$U$28</f>
        <v>7.29</v>
      </c>
      <c r="V138" s="148" t="s">
        <v>62</v>
      </c>
      <c r="W138" s="150">
        <f>$W$28</f>
        <v>3.45</v>
      </c>
      <c r="X138" s="151" t="s">
        <v>64</v>
      </c>
      <c r="Y138" s="24" t="s">
        <v>61</v>
      </c>
      <c r="Z138" s="151"/>
      <c r="AA138" s="32"/>
      <c r="AB138" s="702">
        <f>AD$17+AD$19+AD$21</f>
        <v>12.705882352941179</v>
      </c>
      <c r="AC138" s="702"/>
      <c r="AD138" s="24" t="s">
        <v>63</v>
      </c>
      <c r="AE138" s="24"/>
      <c r="AF138" s="24"/>
      <c r="AG138" s="152"/>
      <c r="AH138" s="648">
        <f>(S138+U138+W138)*AB138</f>
        <v>296.93647058823535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255"/>
      <c r="J139" s="252"/>
      <c r="K139" s="252"/>
      <c r="L139" s="259"/>
      <c r="M139" s="259"/>
      <c r="N139" s="259"/>
      <c r="O139" s="259"/>
      <c r="P139" s="259"/>
      <c r="Q139" s="2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253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54"/>
      <c r="S140" s="254"/>
      <c r="T140" s="25"/>
      <c r="U140" s="25"/>
      <c r="V140" s="25"/>
      <c r="W140" s="165"/>
      <c r="X140" s="260"/>
      <c r="Y140" s="260"/>
      <c r="Z140" s="167"/>
      <c r="AA140" s="168"/>
      <c r="AB140" s="711">
        <f>SUM(AB138:AC138)</f>
        <v>12.705882352941179</v>
      </c>
      <c r="AC140" s="711"/>
      <c r="AD140" s="169" t="s">
        <v>57</v>
      </c>
      <c r="AE140" s="25"/>
      <c r="AF140" s="25"/>
      <c r="AG140" s="25"/>
      <c r="AH140" s="712">
        <f>SUM(AH137:AK138)</f>
        <v>1153.0044230882354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111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251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45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111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110</v>
      </c>
      <c r="W142" s="173">
        <f>W131</f>
        <v>14.55</v>
      </c>
      <c r="X142" s="258" t="s">
        <v>112</v>
      </c>
      <c r="Y142" s="259" t="s">
        <v>113</v>
      </c>
      <c r="Z142" s="665">
        <f>IF('様式11-5'!U$1="LPG",0,AD$22)</f>
        <v>0</v>
      </c>
      <c r="AA142" s="665"/>
      <c r="AB142" s="23" t="s">
        <v>46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54"/>
      <c r="S143" s="254"/>
      <c r="T143" s="25"/>
      <c r="U143" s="25"/>
      <c r="V143" s="25"/>
      <c r="W143" s="165"/>
      <c r="X143" s="260"/>
      <c r="Y143" s="260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52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251" t="s">
        <v>51</v>
      </c>
      <c r="AD144" s="28"/>
      <c r="AE144" s="28"/>
      <c r="AF144" s="28"/>
      <c r="AG144" s="28"/>
      <c r="AH144" s="640">
        <f>IF($AH$22+$AH$23=0,0,R144*AB144)</f>
        <v>1320</v>
      </c>
      <c r="AI144" s="641"/>
      <c r="AJ144" s="641"/>
      <c r="AK144" s="642"/>
      <c r="AL144" s="617" t="s">
        <v>52</v>
      </c>
      <c r="AM144" s="618"/>
      <c r="AN144" s="594">
        <f>AN45</f>
        <v>6</v>
      </c>
      <c r="AO144" s="595"/>
      <c r="AP144" s="613" t="s">
        <v>45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46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54"/>
      <c r="S146" s="254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1320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1285.8699999999999</v>
      </c>
      <c r="S148" s="548"/>
      <c r="T148" s="28" t="s">
        <v>71</v>
      </c>
      <c r="U148" s="28"/>
      <c r="V148" s="28"/>
      <c r="W148" s="549">
        <f>$W$27</f>
        <v>0.78323529411764725</v>
      </c>
      <c r="X148" s="549"/>
      <c r="Y148" s="28" t="s">
        <v>70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856.06795250000016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72</v>
      </c>
      <c r="AQ148" s="662"/>
      <c r="AR148" s="663">
        <f>AN148*AB151/1000</f>
        <v>5.8951058823529428E-3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197</v>
      </c>
      <c r="Q149" s="646"/>
      <c r="R149" s="34" t="s">
        <v>157</v>
      </c>
      <c r="S149" s="33">
        <f>IF(P149="夏季",料金単価!$D$3,料金単価!$E$3)</f>
        <v>12.63</v>
      </c>
      <c r="T149" s="148" t="s">
        <v>62</v>
      </c>
      <c r="U149" s="149">
        <f>$U$28</f>
        <v>7.29</v>
      </c>
      <c r="V149" s="148" t="s">
        <v>62</v>
      </c>
      <c r="W149" s="150">
        <f>$W$28</f>
        <v>3.45</v>
      </c>
      <c r="X149" s="151" t="s">
        <v>64</v>
      </c>
      <c r="Y149" s="24" t="s">
        <v>61</v>
      </c>
      <c r="Z149" s="151"/>
      <c r="AA149" s="32"/>
      <c r="AB149" s="702">
        <f>AF$17+AF$19+AF$21</f>
        <v>13.129411764705885</v>
      </c>
      <c r="AC149" s="702"/>
      <c r="AD149" s="24" t="s">
        <v>63</v>
      </c>
      <c r="AE149" s="24"/>
      <c r="AF149" s="24"/>
      <c r="AG149" s="152"/>
      <c r="AH149" s="648">
        <f>(S149+U149+W149)*AB149</f>
        <v>306.83435294117658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255"/>
      <c r="J150" s="252"/>
      <c r="K150" s="252"/>
      <c r="L150" s="259"/>
      <c r="M150" s="259"/>
      <c r="N150" s="259"/>
      <c r="O150" s="259"/>
      <c r="P150" s="259"/>
      <c r="Q150" s="2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253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54"/>
      <c r="S151" s="254"/>
      <c r="T151" s="25"/>
      <c r="U151" s="25"/>
      <c r="V151" s="25"/>
      <c r="W151" s="165"/>
      <c r="X151" s="260"/>
      <c r="Y151" s="260"/>
      <c r="Z151" s="167"/>
      <c r="AA151" s="168"/>
      <c r="AB151" s="711">
        <f>SUM(AB149:AC149)</f>
        <v>13.129411764705885</v>
      </c>
      <c r="AC151" s="711"/>
      <c r="AD151" s="169" t="s">
        <v>57</v>
      </c>
      <c r="AE151" s="25"/>
      <c r="AF151" s="25"/>
      <c r="AG151" s="25"/>
      <c r="AH151" s="712">
        <f>SUM(AH148:AK149)</f>
        <v>1162.9023054411768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111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251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45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111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110</v>
      </c>
      <c r="W153" s="173">
        <f>W142</f>
        <v>14.55</v>
      </c>
      <c r="X153" s="258" t="s">
        <v>112</v>
      </c>
      <c r="Y153" s="259" t="s">
        <v>113</v>
      </c>
      <c r="Z153" s="665">
        <f>IF('様式11-5'!U$1="LPG",0,AF$22)</f>
        <v>0</v>
      </c>
      <c r="AA153" s="665"/>
      <c r="AB153" s="23" t="s">
        <v>46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54"/>
      <c r="S154" s="254"/>
      <c r="T154" s="25"/>
      <c r="U154" s="25"/>
      <c r="V154" s="25"/>
      <c r="W154" s="165"/>
      <c r="X154" s="260"/>
      <c r="Y154" s="260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52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251" t="s">
        <v>51</v>
      </c>
      <c r="AD155" s="28"/>
      <c r="AE155" s="28"/>
      <c r="AF155" s="28"/>
      <c r="AG155" s="28"/>
      <c r="AH155" s="640">
        <f>IF($AH$22+$AH$23=0,0,R155*AB155)</f>
        <v>1320</v>
      </c>
      <c r="AI155" s="641"/>
      <c r="AJ155" s="641"/>
      <c r="AK155" s="642"/>
      <c r="AL155" s="617" t="s">
        <v>52</v>
      </c>
      <c r="AM155" s="618"/>
      <c r="AN155" s="594">
        <f>AN56</f>
        <v>6</v>
      </c>
      <c r="AO155" s="595"/>
      <c r="AP155" s="613" t="s">
        <v>45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46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54"/>
      <c r="S157" s="254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1320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249"/>
      <c r="C158" s="249"/>
      <c r="D158" s="249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249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250"/>
      <c r="D159" s="25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25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10272.815430000002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72</v>
      </c>
      <c r="AQ161" s="662"/>
      <c r="AR161" s="663">
        <f>AN161*AB166/1000</f>
        <v>0.80572669670588259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280.9345882352942</v>
      </c>
      <c r="AC162" s="557"/>
      <c r="AD162" s="24" t="s">
        <v>63</v>
      </c>
      <c r="AE162" s="24"/>
      <c r="AF162" s="24"/>
      <c r="AG162" s="152"/>
      <c r="AH162" s="648">
        <f>AH39+AH61+AH50</f>
        <v>6807.0450729411787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72.993529411764712</v>
      </c>
      <c r="AC163" s="557"/>
      <c r="AD163" s="24" t="s">
        <v>63</v>
      </c>
      <c r="AE163" s="24"/>
      <c r="AF163" s="24"/>
      <c r="AG163" s="152"/>
      <c r="AH163" s="648">
        <f>AH28+AH72+AH149</f>
        <v>1705.8587823529415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1440.563411764706</v>
      </c>
      <c r="AC164" s="647"/>
      <c r="AD164" s="30" t="s">
        <v>63</v>
      </c>
      <c r="AE164" s="30"/>
      <c r="AF164" s="30"/>
      <c r="AG164" s="253"/>
      <c r="AH164" s="648">
        <f>AH94+AH105+AH116+AH127+AH83+AH138</f>
        <v>33665.96693294117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255"/>
      <c r="J165" s="252"/>
      <c r="K165" s="252"/>
      <c r="L165" s="259"/>
      <c r="M165" s="259"/>
      <c r="N165" s="259"/>
      <c r="O165" s="259"/>
      <c r="P165" s="259"/>
      <c r="Q165" s="2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262"/>
      <c r="AC165" s="262"/>
      <c r="AD165" s="30"/>
      <c r="AE165" s="30"/>
      <c r="AF165" s="30"/>
      <c r="AG165" s="253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9"/>
      <c r="C166" s="620"/>
      <c r="D166" s="932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1794.491529411765</v>
      </c>
      <c r="AC166" s="701"/>
      <c r="AD166" s="344" t="s">
        <v>57</v>
      </c>
      <c r="AE166" s="337"/>
      <c r="AF166" s="337"/>
      <c r="AG166" s="337"/>
      <c r="AH166" s="652">
        <f>SUM(AH161:AK164)</f>
        <v>52451.686218235292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45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258"/>
      <c r="Y168" s="259"/>
      <c r="Z168" s="257"/>
      <c r="AA168" s="189"/>
      <c r="AB168" s="557">
        <f>Z32+Z43+Z65+Z54+Z76+Z87+Z142+Z153</f>
        <v>0</v>
      </c>
      <c r="AC168" s="557"/>
      <c r="AD168" s="23" t="s">
        <v>46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258"/>
      <c r="Y169" s="259"/>
      <c r="Z169" s="271"/>
      <c r="AA169" s="271"/>
      <c r="AB169" s="562">
        <f>Z98+Z109+Z120+Z131</f>
        <v>0</v>
      </c>
      <c r="AC169" s="562"/>
      <c r="AD169" s="23" t="s">
        <v>46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52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15840</v>
      </c>
      <c r="AI171" s="641"/>
      <c r="AJ171" s="641"/>
      <c r="AK171" s="642"/>
      <c r="AL171" s="617" t="s">
        <v>52</v>
      </c>
      <c r="AM171" s="618"/>
      <c r="AN171" s="594">
        <f>AN34</f>
        <v>6</v>
      </c>
      <c r="AO171" s="595"/>
      <c r="AP171" s="613" t="s">
        <v>45</v>
      </c>
      <c r="AQ171" s="614"/>
      <c r="AR171" s="625">
        <f>AN171*AB173/1000</f>
        <v>0.32216470588235296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53.694117647058825</v>
      </c>
      <c r="AC172" s="562"/>
      <c r="AD172" s="23" t="s">
        <v>46</v>
      </c>
      <c r="AE172" s="23"/>
      <c r="AF172" s="23"/>
      <c r="AG172" s="23"/>
      <c r="AH172" s="558">
        <f>AH35+AH46+AH68+AH101+AH112+AH123+AH134+AH57+AH79+AH90+AH145+AH156</f>
        <v>23625.411764705885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53.694117647058825</v>
      </c>
      <c r="AC173" s="667"/>
      <c r="AD173" s="347" t="s">
        <v>43</v>
      </c>
      <c r="AE173" s="347"/>
      <c r="AF173" s="347"/>
      <c r="AG173" s="347"/>
      <c r="AH173" s="671">
        <f>SUM(AH171:AK172)</f>
        <v>39465.411764705888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195"/>
      <c r="AE174" s="563" t="s">
        <v>218</v>
      </c>
      <c r="AF174" s="564"/>
      <c r="AG174" s="565"/>
      <c r="AH174" s="566">
        <f>+AH166+AH170+AH173</f>
        <v>91917.097982941181</v>
      </c>
      <c r="AI174" s="567"/>
      <c r="AJ174" s="567"/>
      <c r="AK174" s="568"/>
      <c r="AP174" s="563" t="s">
        <v>1</v>
      </c>
      <c r="AQ174" s="564"/>
      <c r="AR174" s="569">
        <f>SUM(AR161:AT173)</f>
        <v>1.1278914025882356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179.98912030208274</v>
      </c>
      <c r="AO177" s="582"/>
      <c r="AP177" s="583" t="s">
        <v>220</v>
      </c>
      <c r="AQ177" s="584"/>
      <c r="AR177" s="585">
        <f>AN177*0.0258</f>
        <v>4.643719303793735</v>
      </c>
      <c r="AS177" s="585"/>
      <c r="AT177" s="585"/>
      <c r="AU177" s="586" t="s">
        <v>119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220</v>
      </c>
      <c r="AQ178" s="584"/>
      <c r="AR178" s="585">
        <f>AN178*0.0258</f>
        <v>0</v>
      </c>
      <c r="AS178" s="585"/>
      <c r="AT178" s="585"/>
      <c r="AU178" s="586" t="s">
        <v>119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116</v>
      </c>
      <c r="AM179" s="599"/>
      <c r="AN179" s="600">
        <f>AB173/92.9</f>
        <v>0.57797758500601526</v>
      </c>
      <c r="AO179" s="601"/>
      <c r="AP179" s="602" t="s">
        <v>220</v>
      </c>
      <c r="AQ179" s="603"/>
      <c r="AR179" s="604">
        <f>AN179*0.0258</f>
        <v>1.4911821693155193E-2</v>
      </c>
      <c r="AS179" s="604"/>
      <c r="AT179" s="604"/>
      <c r="AU179" s="629" t="s">
        <v>119</v>
      </c>
      <c r="AV179" s="630"/>
    </row>
    <row r="180" spans="2:48" ht="14.25" thickBot="1">
      <c r="AP180" s="573" t="s">
        <v>1</v>
      </c>
      <c r="AQ180" s="574"/>
      <c r="AR180" s="575">
        <f>SUM(AR177:AT179)</f>
        <v>4.65863112548689</v>
      </c>
      <c r="AS180" s="576"/>
      <c r="AT180" s="576"/>
      <c r="AU180" s="577" t="s">
        <v>119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AL179:AM179"/>
    <mergeCell ref="AN179:AO179"/>
    <mergeCell ref="AP179:AQ179"/>
    <mergeCell ref="AR179:AT179"/>
    <mergeCell ref="AP174:AQ174"/>
    <mergeCell ref="AR174:AT174"/>
    <mergeCell ref="AU174:AV174"/>
    <mergeCell ref="AU179:AV179"/>
    <mergeCell ref="AL171:AM173"/>
    <mergeCell ref="B167:D173"/>
    <mergeCell ref="E167:H169"/>
    <mergeCell ref="S167:T167"/>
    <mergeCell ref="AH167:AK167"/>
    <mergeCell ref="AH169:AK169"/>
    <mergeCell ref="P164:Q164"/>
    <mergeCell ref="AB164:AC164"/>
    <mergeCell ref="AH164:AK164"/>
    <mergeCell ref="AB170:AC170"/>
    <mergeCell ref="AH170:AK170"/>
    <mergeCell ref="AR171:AT173"/>
    <mergeCell ref="AU171:AV173"/>
    <mergeCell ref="AR167:AT170"/>
    <mergeCell ref="AH161:AK161"/>
    <mergeCell ref="AL161:AM166"/>
    <mergeCell ref="AN161:AO166"/>
    <mergeCell ref="AP161:AQ166"/>
    <mergeCell ref="E170:H170"/>
    <mergeCell ref="L164:O164"/>
    <mergeCell ref="E171:H172"/>
    <mergeCell ref="R171:S171"/>
    <mergeCell ref="AH171:AK171"/>
    <mergeCell ref="R172:S172"/>
    <mergeCell ref="X172:Y172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N160:AQ160"/>
    <mergeCell ref="AR160:AV160"/>
    <mergeCell ref="AN167:AO170"/>
    <mergeCell ref="AP167:AQ170"/>
    <mergeCell ref="E161:H165"/>
    <mergeCell ref="R161:S161"/>
    <mergeCell ref="W161:X161"/>
    <mergeCell ref="AU167:AV170"/>
    <mergeCell ref="S168:T168"/>
    <mergeCell ref="AB168:AC168"/>
    <mergeCell ref="S169:T169"/>
    <mergeCell ref="AB169:AC169"/>
    <mergeCell ref="AL152:AM154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AE174:AG174"/>
    <mergeCell ref="AH174:AK174"/>
    <mergeCell ref="S153:T153"/>
    <mergeCell ref="Z153:AA153"/>
    <mergeCell ref="AH153:AK153"/>
    <mergeCell ref="X173:Y173"/>
    <mergeCell ref="AB173:AC173"/>
    <mergeCell ref="AH172:AK172"/>
    <mergeCell ref="AL167:AM170"/>
    <mergeCell ref="AH163:AK163"/>
    <mergeCell ref="R144:S144"/>
    <mergeCell ref="Z154:AA154"/>
    <mergeCell ref="AH154:AK154"/>
    <mergeCell ref="X157:Y157"/>
    <mergeCell ref="AH157:AK157"/>
    <mergeCell ref="AH155:AK155"/>
    <mergeCell ref="AP144:AQ146"/>
    <mergeCell ref="E151:H151"/>
    <mergeCell ref="AB151:AC151"/>
    <mergeCell ref="AH151:AK151"/>
    <mergeCell ref="AP148:AQ151"/>
    <mergeCell ref="C148:D151"/>
    <mergeCell ref="E148:H150"/>
    <mergeCell ref="R148:S148"/>
    <mergeCell ref="W148:X148"/>
    <mergeCell ref="AH148:AK148"/>
    <mergeCell ref="AL148:AM151"/>
    <mergeCell ref="AN148:AO151"/>
    <mergeCell ref="B160:D160"/>
    <mergeCell ref="B161:D166"/>
    <mergeCell ref="B148:B157"/>
    <mergeCell ref="E147:H147"/>
    <mergeCell ref="I147:Q147"/>
    <mergeCell ref="R147:AG147"/>
    <mergeCell ref="AH147:AK147"/>
    <mergeCell ref="AL147:AM147"/>
    <mergeCell ref="C141:D146"/>
    <mergeCell ref="AB172:AC172"/>
    <mergeCell ref="AH168:AK168"/>
    <mergeCell ref="AP141:AQ143"/>
    <mergeCell ref="AR141:AT143"/>
    <mergeCell ref="AN147:AQ147"/>
    <mergeCell ref="AR147:AV147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AU155:AV157"/>
    <mergeCell ref="AR148:AT151"/>
    <mergeCell ref="AU148:AV151"/>
    <mergeCell ref="AU141:AV143"/>
    <mergeCell ref="AR144:AT146"/>
    <mergeCell ref="AU144:AV146"/>
    <mergeCell ref="B147:D147"/>
    <mergeCell ref="E157:H157"/>
    <mergeCell ref="E160:H160"/>
    <mergeCell ref="AN152:AO154"/>
    <mergeCell ref="AP152:AQ154"/>
    <mergeCell ref="AR152:AT154"/>
    <mergeCell ref="AU152:AV154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AB138:AC138"/>
    <mergeCell ref="AH138:AK138"/>
    <mergeCell ref="AH139:AK139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AL141:AM143"/>
    <mergeCell ref="R145:S145"/>
    <mergeCell ref="X145:Y145"/>
    <mergeCell ref="AH145:AK145"/>
    <mergeCell ref="E146:H146"/>
    <mergeCell ref="X146:Y146"/>
    <mergeCell ref="AH146:AK146"/>
    <mergeCell ref="AN141:AO143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N136:AQ136"/>
    <mergeCell ref="AR136:AV136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L21:AV21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料金単価!$B$21:$B$28</xm:f>
          </x14:formula1>
          <xm:sqref>Y1:AK1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X180"/>
  <sheetViews>
    <sheetView view="pageBreakPreview" topLeftCell="A5" zoomScaleNormal="115" zoomScaleSheetLayoutView="100" workbookViewId="0">
      <selection activeCell="AH42" sqref="AH42:AK42"/>
    </sheetView>
  </sheetViews>
  <sheetFormatPr defaultRowHeight="13.5"/>
  <cols>
    <col min="1" max="1" width="2.625" style="89" customWidth="1"/>
    <col min="2" max="7" width="3.625" style="6" customWidth="1"/>
    <col min="8" max="8" width="4.5" style="6" bestFit="1" customWidth="1"/>
    <col min="9" max="9" width="10.5" style="6" bestFit="1" customWidth="1"/>
    <col min="10" max="20" width="4.375" style="6" customWidth="1"/>
    <col min="21" max="21" width="4.5" style="6" customWidth="1"/>
    <col min="22" max="33" width="4.375" style="6" customWidth="1"/>
    <col min="34" max="37" width="4.25" style="6" customWidth="1"/>
    <col min="38" max="42" width="3.625" style="6" customWidth="1"/>
    <col min="43" max="48" width="3.625" style="89" customWidth="1"/>
    <col min="49" max="49" width="10" style="89" customWidth="1"/>
    <col min="50" max="76" width="3.625" style="89" customWidth="1"/>
    <col min="77" max="256" width="9" style="89"/>
    <col min="257" max="257" width="2.625" style="89" customWidth="1"/>
    <col min="258" max="304" width="3.625" style="89" customWidth="1"/>
    <col min="305" max="305" width="2.375" style="89" customWidth="1"/>
    <col min="306" max="332" width="3.625" style="89" customWidth="1"/>
    <col min="333" max="512" width="9" style="89"/>
    <col min="513" max="513" width="2.625" style="89" customWidth="1"/>
    <col min="514" max="560" width="3.625" style="89" customWidth="1"/>
    <col min="561" max="561" width="2.375" style="89" customWidth="1"/>
    <col min="562" max="588" width="3.625" style="89" customWidth="1"/>
    <col min="589" max="768" width="9" style="89"/>
    <col min="769" max="769" width="2.625" style="89" customWidth="1"/>
    <col min="770" max="816" width="3.625" style="89" customWidth="1"/>
    <col min="817" max="817" width="2.375" style="89" customWidth="1"/>
    <col min="818" max="844" width="3.625" style="89" customWidth="1"/>
    <col min="845" max="1024" width="9" style="89"/>
    <col min="1025" max="1025" width="2.625" style="89" customWidth="1"/>
    <col min="1026" max="1072" width="3.625" style="89" customWidth="1"/>
    <col min="1073" max="1073" width="2.375" style="89" customWidth="1"/>
    <col min="1074" max="1100" width="3.625" style="89" customWidth="1"/>
    <col min="1101" max="1280" width="9" style="89"/>
    <col min="1281" max="1281" width="2.625" style="89" customWidth="1"/>
    <col min="1282" max="1328" width="3.625" style="89" customWidth="1"/>
    <col min="1329" max="1329" width="2.375" style="89" customWidth="1"/>
    <col min="1330" max="1356" width="3.625" style="89" customWidth="1"/>
    <col min="1357" max="1536" width="9" style="89"/>
    <col min="1537" max="1537" width="2.625" style="89" customWidth="1"/>
    <col min="1538" max="1584" width="3.625" style="89" customWidth="1"/>
    <col min="1585" max="1585" width="2.375" style="89" customWidth="1"/>
    <col min="1586" max="1612" width="3.625" style="89" customWidth="1"/>
    <col min="1613" max="1792" width="9" style="89"/>
    <col min="1793" max="1793" width="2.625" style="89" customWidth="1"/>
    <col min="1794" max="1840" width="3.625" style="89" customWidth="1"/>
    <col min="1841" max="1841" width="2.375" style="89" customWidth="1"/>
    <col min="1842" max="1868" width="3.625" style="89" customWidth="1"/>
    <col min="1869" max="2048" width="9" style="89"/>
    <col min="2049" max="2049" width="2.625" style="89" customWidth="1"/>
    <col min="2050" max="2096" width="3.625" style="89" customWidth="1"/>
    <col min="2097" max="2097" width="2.375" style="89" customWidth="1"/>
    <col min="2098" max="2124" width="3.625" style="89" customWidth="1"/>
    <col min="2125" max="2304" width="9" style="89"/>
    <col min="2305" max="2305" width="2.625" style="89" customWidth="1"/>
    <col min="2306" max="2352" width="3.625" style="89" customWidth="1"/>
    <col min="2353" max="2353" width="2.375" style="89" customWidth="1"/>
    <col min="2354" max="2380" width="3.625" style="89" customWidth="1"/>
    <col min="2381" max="2560" width="9" style="89"/>
    <col min="2561" max="2561" width="2.625" style="89" customWidth="1"/>
    <col min="2562" max="2608" width="3.625" style="89" customWidth="1"/>
    <col min="2609" max="2609" width="2.375" style="89" customWidth="1"/>
    <col min="2610" max="2636" width="3.625" style="89" customWidth="1"/>
    <col min="2637" max="2816" width="9" style="89"/>
    <col min="2817" max="2817" width="2.625" style="89" customWidth="1"/>
    <col min="2818" max="2864" width="3.625" style="89" customWidth="1"/>
    <col min="2865" max="2865" width="2.375" style="89" customWidth="1"/>
    <col min="2866" max="2892" width="3.625" style="89" customWidth="1"/>
    <col min="2893" max="3072" width="9" style="89"/>
    <col min="3073" max="3073" width="2.625" style="89" customWidth="1"/>
    <col min="3074" max="3120" width="3.625" style="89" customWidth="1"/>
    <col min="3121" max="3121" width="2.375" style="89" customWidth="1"/>
    <col min="3122" max="3148" width="3.625" style="89" customWidth="1"/>
    <col min="3149" max="3328" width="9" style="89"/>
    <col min="3329" max="3329" width="2.625" style="89" customWidth="1"/>
    <col min="3330" max="3376" width="3.625" style="89" customWidth="1"/>
    <col min="3377" max="3377" width="2.375" style="89" customWidth="1"/>
    <col min="3378" max="3404" width="3.625" style="89" customWidth="1"/>
    <col min="3405" max="3584" width="9" style="89"/>
    <col min="3585" max="3585" width="2.625" style="89" customWidth="1"/>
    <col min="3586" max="3632" width="3.625" style="89" customWidth="1"/>
    <col min="3633" max="3633" width="2.375" style="89" customWidth="1"/>
    <col min="3634" max="3660" width="3.625" style="89" customWidth="1"/>
    <col min="3661" max="3840" width="9" style="89"/>
    <col min="3841" max="3841" width="2.625" style="89" customWidth="1"/>
    <col min="3842" max="3888" width="3.625" style="89" customWidth="1"/>
    <col min="3889" max="3889" width="2.375" style="89" customWidth="1"/>
    <col min="3890" max="3916" width="3.625" style="89" customWidth="1"/>
    <col min="3917" max="4096" width="9" style="89"/>
    <col min="4097" max="4097" width="2.625" style="89" customWidth="1"/>
    <col min="4098" max="4144" width="3.625" style="89" customWidth="1"/>
    <col min="4145" max="4145" width="2.375" style="89" customWidth="1"/>
    <col min="4146" max="4172" width="3.625" style="89" customWidth="1"/>
    <col min="4173" max="4352" width="9" style="89"/>
    <col min="4353" max="4353" width="2.625" style="89" customWidth="1"/>
    <col min="4354" max="4400" width="3.625" style="89" customWidth="1"/>
    <col min="4401" max="4401" width="2.375" style="89" customWidth="1"/>
    <col min="4402" max="4428" width="3.625" style="89" customWidth="1"/>
    <col min="4429" max="4608" width="9" style="89"/>
    <col min="4609" max="4609" width="2.625" style="89" customWidth="1"/>
    <col min="4610" max="4656" width="3.625" style="89" customWidth="1"/>
    <col min="4657" max="4657" width="2.375" style="89" customWidth="1"/>
    <col min="4658" max="4684" width="3.625" style="89" customWidth="1"/>
    <col min="4685" max="4864" width="9" style="89"/>
    <col min="4865" max="4865" width="2.625" style="89" customWidth="1"/>
    <col min="4866" max="4912" width="3.625" style="89" customWidth="1"/>
    <col min="4913" max="4913" width="2.375" style="89" customWidth="1"/>
    <col min="4914" max="4940" width="3.625" style="89" customWidth="1"/>
    <col min="4941" max="5120" width="9" style="89"/>
    <col min="5121" max="5121" width="2.625" style="89" customWidth="1"/>
    <col min="5122" max="5168" width="3.625" style="89" customWidth="1"/>
    <col min="5169" max="5169" width="2.375" style="89" customWidth="1"/>
    <col min="5170" max="5196" width="3.625" style="89" customWidth="1"/>
    <col min="5197" max="5376" width="9" style="89"/>
    <col min="5377" max="5377" width="2.625" style="89" customWidth="1"/>
    <col min="5378" max="5424" width="3.625" style="89" customWidth="1"/>
    <col min="5425" max="5425" width="2.375" style="89" customWidth="1"/>
    <col min="5426" max="5452" width="3.625" style="89" customWidth="1"/>
    <col min="5453" max="5632" width="9" style="89"/>
    <col min="5633" max="5633" width="2.625" style="89" customWidth="1"/>
    <col min="5634" max="5680" width="3.625" style="89" customWidth="1"/>
    <col min="5681" max="5681" width="2.375" style="89" customWidth="1"/>
    <col min="5682" max="5708" width="3.625" style="89" customWidth="1"/>
    <col min="5709" max="5888" width="9" style="89"/>
    <col min="5889" max="5889" width="2.625" style="89" customWidth="1"/>
    <col min="5890" max="5936" width="3.625" style="89" customWidth="1"/>
    <col min="5937" max="5937" width="2.375" style="89" customWidth="1"/>
    <col min="5938" max="5964" width="3.625" style="89" customWidth="1"/>
    <col min="5965" max="6144" width="9" style="89"/>
    <col min="6145" max="6145" width="2.625" style="89" customWidth="1"/>
    <col min="6146" max="6192" width="3.625" style="89" customWidth="1"/>
    <col min="6193" max="6193" width="2.375" style="89" customWidth="1"/>
    <col min="6194" max="6220" width="3.625" style="89" customWidth="1"/>
    <col min="6221" max="6400" width="9" style="89"/>
    <col min="6401" max="6401" width="2.625" style="89" customWidth="1"/>
    <col min="6402" max="6448" width="3.625" style="89" customWidth="1"/>
    <col min="6449" max="6449" width="2.375" style="89" customWidth="1"/>
    <col min="6450" max="6476" width="3.625" style="89" customWidth="1"/>
    <col min="6477" max="6656" width="9" style="89"/>
    <col min="6657" max="6657" width="2.625" style="89" customWidth="1"/>
    <col min="6658" max="6704" width="3.625" style="89" customWidth="1"/>
    <col min="6705" max="6705" width="2.375" style="89" customWidth="1"/>
    <col min="6706" max="6732" width="3.625" style="89" customWidth="1"/>
    <col min="6733" max="6912" width="9" style="89"/>
    <col min="6913" max="6913" width="2.625" style="89" customWidth="1"/>
    <col min="6914" max="6960" width="3.625" style="89" customWidth="1"/>
    <col min="6961" max="6961" width="2.375" style="89" customWidth="1"/>
    <col min="6962" max="6988" width="3.625" style="89" customWidth="1"/>
    <col min="6989" max="7168" width="9" style="89"/>
    <col min="7169" max="7169" width="2.625" style="89" customWidth="1"/>
    <col min="7170" max="7216" width="3.625" style="89" customWidth="1"/>
    <col min="7217" max="7217" width="2.375" style="89" customWidth="1"/>
    <col min="7218" max="7244" width="3.625" style="89" customWidth="1"/>
    <col min="7245" max="7424" width="9" style="89"/>
    <col min="7425" max="7425" width="2.625" style="89" customWidth="1"/>
    <col min="7426" max="7472" width="3.625" style="89" customWidth="1"/>
    <col min="7473" max="7473" width="2.375" style="89" customWidth="1"/>
    <col min="7474" max="7500" width="3.625" style="89" customWidth="1"/>
    <col min="7501" max="7680" width="9" style="89"/>
    <col min="7681" max="7681" width="2.625" style="89" customWidth="1"/>
    <col min="7682" max="7728" width="3.625" style="89" customWidth="1"/>
    <col min="7729" max="7729" width="2.375" style="89" customWidth="1"/>
    <col min="7730" max="7756" width="3.625" style="89" customWidth="1"/>
    <col min="7757" max="7936" width="9" style="89"/>
    <col min="7937" max="7937" width="2.625" style="89" customWidth="1"/>
    <col min="7938" max="7984" width="3.625" style="89" customWidth="1"/>
    <col min="7985" max="7985" width="2.375" style="89" customWidth="1"/>
    <col min="7986" max="8012" width="3.625" style="89" customWidth="1"/>
    <col min="8013" max="8192" width="9" style="89"/>
    <col min="8193" max="8193" width="2.625" style="89" customWidth="1"/>
    <col min="8194" max="8240" width="3.625" style="89" customWidth="1"/>
    <col min="8241" max="8241" width="2.375" style="89" customWidth="1"/>
    <col min="8242" max="8268" width="3.625" style="89" customWidth="1"/>
    <col min="8269" max="8448" width="9" style="89"/>
    <col min="8449" max="8449" width="2.625" style="89" customWidth="1"/>
    <col min="8450" max="8496" width="3.625" style="89" customWidth="1"/>
    <col min="8497" max="8497" width="2.375" style="89" customWidth="1"/>
    <col min="8498" max="8524" width="3.625" style="89" customWidth="1"/>
    <col min="8525" max="8704" width="9" style="89"/>
    <col min="8705" max="8705" width="2.625" style="89" customWidth="1"/>
    <col min="8706" max="8752" width="3.625" style="89" customWidth="1"/>
    <col min="8753" max="8753" width="2.375" style="89" customWidth="1"/>
    <col min="8754" max="8780" width="3.625" style="89" customWidth="1"/>
    <col min="8781" max="8960" width="9" style="89"/>
    <col min="8961" max="8961" width="2.625" style="89" customWidth="1"/>
    <col min="8962" max="9008" width="3.625" style="89" customWidth="1"/>
    <col min="9009" max="9009" width="2.375" style="89" customWidth="1"/>
    <col min="9010" max="9036" width="3.625" style="89" customWidth="1"/>
    <col min="9037" max="9216" width="9" style="89"/>
    <col min="9217" max="9217" width="2.625" style="89" customWidth="1"/>
    <col min="9218" max="9264" width="3.625" style="89" customWidth="1"/>
    <col min="9265" max="9265" width="2.375" style="89" customWidth="1"/>
    <col min="9266" max="9292" width="3.625" style="89" customWidth="1"/>
    <col min="9293" max="9472" width="9" style="89"/>
    <col min="9473" max="9473" width="2.625" style="89" customWidth="1"/>
    <col min="9474" max="9520" width="3.625" style="89" customWidth="1"/>
    <col min="9521" max="9521" width="2.375" style="89" customWidth="1"/>
    <col min="9522" max="9548" width="3.625" style="89" customWidth="1"/>
    <col min="9549" max="9728" width="9" style="89"/>
    <col min="9729" max="9729" width="2.625" style="89" customWidth="1"/>
    <col min="9730" max="9776" width="3.625" style="89" customWidth="1"/>
    <col min="9777" max="9777" width="2.375" style="89" customWidth="1"/>
    <col min="9778" max="9804" width="3.625" style="89" customWidth="1"/>
    <col min="9805" max="9984" width="9" style="89"/>
    <col min="9985" max="9985" width="2.625" style="89" customWidth="1"/>
    <col min="9986" max="10032" width="3.625" style="89" customWidth="1"/>
    <col min="10033" max="10033" width="2.375" style="89" customWidth="1"/>
    <col min="10034" max="10060" width="3.625" style="89" customWidth="1"/>
    <col min="10061" max="10240" width="9" style="89"/>
    <col min="10241" max="10241" width="2.625" style="89" customWidth="1"/>
    <col min="10242" max="10288" width="3.625" style="89" customWidth="1"/>
    <col min="10289" max="10289" width="2.375" style="89" customWidth="1"/>
    <col min="10290" max="10316" width="3.625" style="89" customWidth="1"/>
    <col min="10317" max="10496" width="9" style="89"/>
    <col min="10497" max="10497" width="2.625" style="89" customWidth="1"/>
    <col min="10498" max="10544" width="3.625" style="89" customWidth="1"/>
    <col min="10545" max="10545" width="2.375" style="89" customWidth="1"/>
    <col min="10546" max="10572" width="3.625" style="89" customWidth="1"/>
    <col min="10573" max="10752" width="9" style="89"/>
    <col min="10753" max="10753" width="2.625" style="89" customWidth="1"/>
    <col min="10754" max="10800" width="3.625" style="89" customWidth="1"/>
    <col min="10801" max="10801" width="2.375" style="89" customWidth="1"/>
    <col min="10802" max="10828" width="3.625" style="89" customWidth="1"/>
    <col min="10829" max="11008" width="9" style="89"/>
    <col min="11009" max="11009" width="2.625" style="89" customWidth="1"/>
    <col min="11010" max="11056" width="3.625" style="89" customWidth="1"/>
    <col min="11057" max="11057" width="2.375" style="89" customWidth="1"/>
    <col min="11058" max="11084" width="3.625" style="89" customWidth="1"/>
    <col min="11085" max="11264" width="9" style="89"/>
    <col min="11265" max="11265" width="2.625" style="89" customWidth="1"/>
    <col min="11266" max="11312" width="3.625" style="89" customWidth="1"/>
    <col min="11313" max="11313" width="2.375" style="89" customWidth="1"/>
    <col min="11314" max="11340" width="3.625" style="89" customWidth="1"/>
    <col min="11341" max="11520" width="9" style="89"/>
    <col min="11521" max="11521" width="2.625" style="89" customWidth="1"/>
    <col min="11522" max="11568" width="3.625" style="89" customWidth="1"/>
    <col min="11569" max="11569" width="2.375" style="89" customWidth="1"/>
    <col min="11570" max="11596" width="3.625" style="89" customWidth="1"/>
    <col min="11597" max="11776" width="9" style="89"/>
    <col min="11777" max="11777" width="2.625" style="89" customWidth="1"/>
    <col min="11778" max="11824" width="3.625" style="89" customWidth="1"/>
    <col min="11825" max="11825" width="2.375" style="89" customWidth="1"/>
    <col min="11826" max="11852" width="3.625" style="89" customWidth="1"/>
    <col min="11853" max="12032" width="9" style="89"/>
    <col min="12033" max="12033" width="2.625" style="89" customWidth="1"/>
    <col min="12034" max="12080" width="3.625" style="89" customWidth="1"/>
    <col min="12081" max="12081" width="2.375" style="89" customWidth="1"/>
    <col min="12082" max="12108" width="3.625" style="89" customWidth="1"/>
    <col min="12109" max="12288" width="9" style="89"/>
    <col min="12289" max="12289" width="2.625" style="89" customWidth="1"/>
    <col min="12290" max="12336" width="3.625" style="89" customWidth="1"/>
    <col min="12337" max="12337" width="2.375" style="89" customWidth="1"/>
    <col min="12338" max="12364" width="3.625" style="89" customWidth="1"/>
    <col min="12365" max="12544" width="9" style="89"/>
    <col min="12545" max="12545" width="2.625" style="89" customWidth="1"/>
    <col min="12546" max="12592" width="3.625" style="89" customWidth="1"/>
    <col min="12593" max="12593" width="2.375" style="89" customWidth="1"/>
    <col min="12594" max="12620" width="3.625" style="89" customWidth="1"/>
    <col min="12621" max="12800" width="9" style="89"/>
    <col min="12801" max="12801" width="2.625" style="89" customWidth="1"/>
    <col min="12802" max="12848" width="3.625" style="89" customWidth="1"/>
    <col min="12849" max="12849" width="2.375" style="89" customWidth="1"/>
    <col min="12850" max="12876" width="3.625" style="89" customWidth="1"/>
    <col min="12877" max="13056" width="9" style="89"/>
    <col min="13057" max="13057" width="2.625" style="89" customWidth="1"/>
    <col min="13058" max="13104" width="3.625" style="89" customWidth="1"/>
    <col min="13105" max="13105" width="2.375" style="89" customWidth="1"/>
    <col min="13106" max="13132" width="3.625" style="89" customWidth="1"/>
    <col min="13133" max="13312" width="9" style="89"/>
    <col min="13313" max="13313" width="2.625" style="89" customWidth="1"/>
    <col min="13314" max="13360" width="3.625" style="89" customWidth="1"/>
    <col min="13361" max="13361" width="2.375" style="89" customWidth="1"/>
    <col min="13362" max="13388" width="3.625" style="89" customWidth="1"/>
    <col min="13389" max="13568" width="9" style="89"/>
    <col min="13569" max="13569" width="2.625" style="89" customWidth="1"/>
    <col min="13570" max="13616" width="3.625" style="89" customWidth="1"/>
    <col min="13617" max="13617" width="2.375" style="89" customWidth="1"/>
    <col min="13618" max="13644" width="3.625" style="89" customWidth="1"/>
    <col min="13645" max="13824" width="9" style="89"/>
    <col min="13825" max="13825" width="2.625" style="89" customWidth="1"/>
    <col min="13826" max="13872" width="3.625" style="89" customWidth="1"/>
    <col min="13873" max="13873" width="2.375" style="89" customWidth="1"/>
    <col min="13874" max="13900" width="3.625" style="89" customWidth="1"/>
    <col min="13901" max="14080" width="9" style="89"/>
    <col min="14081" max="14081" width="2.625" style="89" customWidth="1"/>
    <col min="14082" max="14128" width="3.625" style="89" customWidth="1"/>
    <col min="14129" max="14129" width="2.375" style="89" customWidth="1"/>
    <col min="14130" max="14156" width="3.625" style="89" customWidth="1"/>
    <col min="14157" max="14336" width="9" style="89"/>
    <col min="14337" max="14337" width="2.625" style="89" customWidth="1"/>
    <col min="14338" max="14384" width="3.625" style="89" customWidth="1"/>
    <col min="14385" max="14385" width="2.375" style="89" customWidth="1"/>
    <col min="14386" max="14412" width="3.625" style="89" customWidth="1"/>
    <col min="14413" max="14592" width="9" style="89"/>
    <col min="14593" max="14593" width="2.625" style="89" customWidth="1"/>
    <col min="14594" max="14640" width="3.625" style="89" customWidth="1"/>
    <col min="14641" max="14641" width="2.375" style="89" customWidth="1"/>
    <col min="14642" max="14668" width="3.625" style="89" customWidth="1"/>
    <col min="14669" max="14848" width="9" style="89"/>
    <col min="14849" max="14849" width="2.625" style="89" customWidth="1"/>
    <col min="14850" max="14896" width="3.625" style="89" customWidth="1"/>
    <col min="14897" max="14897" width="2.375" style="89" customWidth="1"/>
    <col min="14898" max="14924" width="3.625" style="89" customWidth="1"/>
    <col min="14925" max="15104" width="9" style="89"/>
    <col min="15105" max="15105" width="2.625" style="89" customWidth="1"/>
    <col min="15106" max="15152" width="3.625" style="89" customWidth="1"/>
    <col min="15153" max="15153" width="2.375" style="89" customWidth="1"/>
    <col min="15154" max="15180" width="3.625" style="89" customWidth="1"/>
    <col min="15181" max="15360" width="9" style="89"/>
    <col min="15361" max="15361" width="2.625" style="89" customWidth="1"/>
    <col min="15362" max="15408" width="3.625" style="89" customWidth="1"/>
    <col min="15409" max="15409" width="2.375" style="89" customWidth="1"/>
    <col min="15410" max="15436" width="3.625" style="89" customWidth="1"/>
    <col min="15437" max="15616" width="9" style="89"/>
    <col min="15617" max="15617" width="2.625" style="89" customWidth="1"/>
    <col min="15618" max="15664" width="3.625" style="89" customWidth="1"/>
    <col min="15665" max="15665" width="2.375" style="89" customWidth="1"/>
    <col min="15666" max="15692" width="3.625" style="89" customWidth="1"/>
    <col min="15693" max="15872" width="9" style="89"/>
    <col min="15873" max="15873" width="2.625" style="89" customWidth="1"/>
    <col min="15874" max="15920" width="3.625" style="89" customWidth="1"/>
    <col min="15921" max="15921" width="2.375" style="89" customWidth="1"/>
    <col min="15922" max="15948" width="3.625" style="89" customWidth="1"/>
    <col min="15949" max="16128" width="9" style="89"/>
    <col min="16129" max="16129" width="2.625" style="89" customWidth="1"/>
    <col min="16130" max="16176" width="3.625" style="89" customWidth="1"/>
    <col min="16177" max="16177" width="2.375" style="89" customWidth="1"/>
    <col min="16178" max="16204" width="3.625" style="89" customWidth="1"/>
    <col min="16205" max="16384" width="9" style="89"/>
  </cols>
  <sheetData>
    <row r="1" spans="2:50">
      <c r="B1" s="21" t="s">
        <v>107</v>
      </c>
      <c r="K1" s="933" t="s">
        <v>3</v>
      </c>
      <c r="L1" s="933"/>
      <c r="M1" s="934" t="str">
        <f>'様式11-5'!G1</f>
        <v>楠中学校</v>
      </c>
      <c r="N1" s="935"/>
      <c r="O1" s="935"/>
      <c r="P1" s="935"/>
      <c r="Q1" s="935"/>
      <c r="R1" s="935"/>
      <c r="S1" s="936"/>
      <c r="U1" s="937" t="s">
        <v>146</v>
      </c>
      <c r="V1" s="937"/>
      <c r="W1" s="937"/>
      <c r="X1" s="137">
        <f>SUMIF(料金単価!$B$21:$B$28,'様式11-6⑧'!$Y$1,料金単価!$A$21:$A$28)</f>
        <v>8</v>
      </c>
      <c r="Y1" s="937" t="s">
        <v>376</v>
      </c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Q1" s="138"/>
      <c r="AR1" s="138"/>
      <c r="AS1" s="139"/>
      <c r="AT1" s="138"/>
      <c r="AU1" s="138"/>
      <c r="AV1" s="18" t="s">
        <v>147</v>
      </c>
      <c r="AX1" s="6"/>
    </row>
    <row r="2" spans="2:50">
      <c r="B2" s="140" t="s">
        <v>148</v>
      </c>
      <c r="K2" s="141"/>
      <c r="L2" s="141"/>
      <c r="M2" s="142"/>
      <c r="N2" s="142"/>
      <c r="O2" s="142"/>
      <c r="P2" s="142"/>
      <c r="Q2" s="142"/>
      <c r="R2" s="142"/>
      <c r="S2" s="142"/>
      <c r="AQ2" s="138"/>
      <c r="AR2" s="138"/>
      <c r="AS2" s="139"/>
      <c r="AT2" s="138"/>
      <c r="AU2" s="138"/>
      <c r="AV2" s="18"/>
      <c r="AX2" s="6"/>
    </row>
    <row r="3" spans="2:50">
      <c r="B3" s="144" t="s">
        <v>593</v>
      </c>
      <c r="F3" s="143"/>
    </row>
    <row r="4" spans="2:50" ht="14.25" thickBot="1">
      <c r="B4" s="6" t="s">
        <v>106</v>
      </c>
    </row>
    <row r="5" spans="2:50">
      <c r="B5" s="938"/>
      <c r="C5" s="939"/>
      <c r="D5" s="939"/>
      <c r="E5" s="939"/>
      <c r="F5" s="939"/>
      <c r="G5" s="939"/>
      <c r="H5" s="939"/>
      <c r="I5" s="940"/>
      <c r="J5" s="941" t="s">
        <v>105</v>
      </c>
      <c r="K5" s="941"/>
      <c r="L5" s="941"/>
      <c r="M5" s="941"/>
      <c r="N5" s="941"/>
      <c r="O5" s="941"/>
      <c r="P5" s="941"/>
      <c r="Q5" s="941"/>
      <c r="R5" s="698" t="s">
        <v>149</v>
      </c>
      <c r="S5" s="697"/>
      <c r="T5" s="697"/>
      <c r="U5" s="697"/>
      <c r="V5" s="698" t="s">
        <v>65</v>
      </c>
      <c r="W5" s="697"/>
      <c r="X5" s="697"/>
      <c r="Y5" s="697"/>
      <c r="Z5" s="697"/>
      <c r="AA5" s="697"/>
      <c r="AB5" s="697"/>
      <c r="AC5" s="699"/>
      <c r="AD5" s="697" t="s">
        <v>149</v>
      </c>
      <c r="AE5" s="697"/>
      <c r="AF5" s="697"/>
      <c r="AG5" s="699"/>
      <c r="AH5" s="942" t="s">
        <v>1</v>
      </c>
      <c r="AI5" s="939"/>
      <c r="AJ5" s="939"/>
      <c r="AK5" s="939"/>
      <c r="AL5" s="680" t="s">
        <v>31</v>
      </c>
      <c r="AM5" s="681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2:50" ht="14.25" thickBot="1">
      <c r="B6" s="563"/>
      <c r="C6" s="564"/>
      <c r="D6" s="564"/>
      <c r="E6" s="564"/>
      <c r="F6" s="564"/>
      <c r="G6" s="564"/>
      <c r="H6" s="564"/>
      <c r="I6" s="565"/>
      <c r="J6" s="908" t="s">
        <v>104</v>
      </c>
      <c r="K6" s="909"/>
      <c r="L6" s="909" t="s">
        <v>103</v>
      </c>
      <c r="M6" s="909"/>
      <c r="N6" s="909" t="s">
        <v>102</v>
      </c>
      <c r="O6" s="909"/>
      <c r="P6" s="909" t="s">
        <v>101</v>
      </c>
      <c r="Q6" s="910"/>
      <c r="R6" s="908" t="s">
        <v>100</v>
      </c>
      <c r="S6" s="909"/>
      <c r="T6" s="909" t="s">
        <v>99</v>
      </c>
      <c r="U6" s="911"/>
      <c r="V6" s="908" t="s">
        <v>98</v>
      </c>
      <c r="W6" s="909"/>
      <c r="X6" s="909" t="s">
        <v>97</v>
      </c>
      <c r="Y6" s="909"/>
      <c r="Z6" s="909" t="s">
        <v>96</v>
      </c>
      <c r="AA6" s="909"/>
      <c r="AB6" s="909" t="s">
        <v>95</v>
      </c>
      <c r="AC6" s="910"/>
      <c r="AD6" s="929" t="s">
        <v>94</v>
      </c>
      <c r="AE6" s="909"/>
      <c r="AF6" s="909" t="s">
        <v>93</v>
      </c>
      <c r="AG6" s="910"/>
      <c r="AH6" s="943"/>
      <c r="AI6" s="564"/>
      <c r="AJ6" s="564"/>
      <c r="AK6" s="564"/>
      <c r="AL6" s="905"/>
      <c r="AM6" s="906"/>
      <c r="AN6" s="906"/>
      <c r="AO6" s="906"/>
      <c r="AP6" s="906"/>
      <c r="AQ6" s="906"/>
      <c r="AR6" s="906"/>
      <c r="AS6" s="906"/>
      <c r="AT6" s="906"/>
      <c r="AU6" s="906"/>
      <c r="AV6" s="907"/>
    </row>
    <row r="7" spans="2:50">
      <c r="B7" s="782" t="s">
        <v>92</v>
      </c>
      <c r="C7" s="783"/>
      <c r="D7" s="783"/>
      <c r="E7" s="783"/>
      <c r="F7" s="783"/>
      <c r="G7" s="784"/>
      <c r="H7" s="915" t="s">
        <v>91</v>
      </c>
      <c r="I7" s="916"/>
      <c r="J7" s="926">
        <v>15</v>
      </c>
      <c r="K7" s="927"/>
      <c r="L7" s="766">
        <v>14</v>
      </c>
      <c r="M7" s="912"/>
      <c r="N7" s="766" t="s">
        <v>378</v>
      </c>
      <c r="O7" s="912"/>
      <c r="P7" s="766">
        <v>13</v>
      </c>
      <c r="Q7" s="912"/>
      <c r="R7" s="926" t="s">
        <v>378</v>
      </c>
      <c r="S7" s="927"/>
      <c r="T7" s="924" t="s">
        <v>378</v>
      </c>
      <c r="U7" s="925"/>
      <c r="V7" s="926">
        <v>17</v>
      </c>
      <c r="W7" s="927"/>
      <c r="X7" s="766">
        <v>16</v>
      </c>
      <c r="Y7" s="927"/>
      <c r="Z7" s="766">
        <v>18</v>
      </c>
      <c r="AA7" s="927"/>
      <c r="AB7" s="766">
        <v>14</v>
      </c>
      <c r="AC7" s="928"/>
      <c r="AD7" s="926" t="s">
        <v>378</v>
      </c>
      <c r="AE7" s="927"/>
      <c r="AF7" s="766" t="s">
        <v>378</v>
      </c>
      <c r="AG7" s="912"/>
      <c r="AH7" s="903"/>
      <c r="AI7" s="904"/>
      <c r="AJ7" s="913"/>
      <c r="AK7" s="914"/>
      <c r="AL7" s="731"/>
      <c r="AM7" s="732"/>
      <c r="AN7" s="732"/>
      <c r="AO7" s="732"/>
      <c r="AP7" s="732"/>
      <c r="AQ7" s="732"/>
      <c r="AR7" s="732"/>
      <c r="AS7" s="732"/>
      <c r="AT7" s="732"/>
      <c r="AU7" s="732"/>
      <c r="AV7" s="733"/>
    </row>
    <row r="8" spans="2:50">
      <c r="B8" s="782"/>
      <c r="C8" s="783"/>
      <c r="D8" s="783"/>
      <c r="E8" s="783"/>
      <c r="F8" s="783"/>
      <c r="G8" s="784"/>
      <c r="H8" s="915" t="s">
        <v>90</v>
      </c>
      <c r="I8" s="916"/>
      <c r="J8" s="917">
        <v>8</v>
      </c>
      <c r="K8" s="918"/>
      <c r="L8" s="918">
        <v>15</v>
      </c>
      <c r="M8" s="918"/>
      <c r="N8" s="918">
        <v>15</v>
      </c>
      <c r="O8" s="918"/>
      <c r="P8" s="918">
        <v>15</v>
      </c>
      <c r="Q8" s="919"/>
      <c r="R8" s="920" t="s">
        <v>378</v>
      </c>
      <c r="S8" s="921"/>
      <c r="T8" s="922" t="s">
        <v>378</v>
      </c>
      <c r="U8" s="923"/>
      <c r="V8" s="917">
        <v>8</v>
      </c>
      <c r="W8" s="918"/>
      <c r="X8" s="918">
        <v>15</v>
      </c>
      <c r="Y8" s="918"/>
      <c r="Z8" s="918">
        <v>15</v>
      </c>
      <c r="AA8" s="918"/>
      <c r="AB8" s="918">
        <v>15</v>
      </c>
      <c r="AC8" s="919"/>
      <c r="AD8" s="920" t="s">
        <v>378</v>
      </c>
      <c r="AE8" s="921"/>
      <c r="AF8" s="922" t="s">
        <v>378</v>
      </c>
      <c r="AG8" s="944"/>
      <c r="AH8" s="903"/>
      <c r="AI8" s="904"/>
      <c r="AJ8" s="913"/>
      <c r="AK8" s="914"/>
      <c r="AL8" s="880"/>
      <c r="AM8" s="881"/>
      <c r="AN8" s="881"/>
      <c r="AO8" s="881"/>
      <c r="AP8" s="881"/>
      <c r="AQ8" s="881"/>
      <c r="AR8" s="881"/>
      <c r="AS8" s="881"/>
      <c r="AT8" s="881"/>
      <c r="AU8" s="881"/>
      <c r="AV8" s="882"/>
    </row>
    <row r="9" spans="2:50">
      <c r="B9" s="782"/>
      <c r="C9" s="783"/>
      <c r="D9" s="783"/>
      <c r="E9" s="783"/>
      <c r="F9" s="783"/>
      <c r="G9" s="784"/>
      <c r="H9" s="883" t="s">
        <v>66</v>
      </c>
      <c r="I9" s="884"/>
      <c r="J9" s="885" t="s">
        <v>150</v>
      </c>
      <c r="K9" s="886"/>
      <c r="L9" s="886">
        <f>+L7*$J$8</f>
        <v>112</v>
      </c>
      <c r="M9" s="886"/>
      <c r="N9" s="886" t="str">
        <f>IF(N7="-","-",+N7*$J$8)</f>
        <v>-</v>
      </c>
      <c r="O9" s="886"/>
      <c r="P9" s="886">
        <f>+P7*$J$8</f>
        <v>104</v>
      </c>
      <c r="Q9" s="886"/>
      <c r="R9" s="887" t="s">
        <v>150</v>
      </c>
      <c r="S9" s="850"/>
      <c r="T9" s="850" t="s">
        <v>150</v>
      </c>
      <c r="U9" s="851"/>
      <c r="V9" s="887" t="s">
        <v>150</v>
      </c>
      <c r="W9" s="850"/>
      <c r="X9" s="850" t="s">
        <v>150</v>
      </c>
      <c r="Y9" s="850"/>
      <c r="Z9" s="850" t="s">
        <v>150</v>
      </c>
      <c r="AA9" s="850"/>
      <c r="AB9" s="850" t="s">
        <v>150</v>
      </c>
      <c r="AC9" s="851"/>
      <c r="AD9" s="887" t="s">
        <v>150</v>
      </c>
      <c r="AE9" s="850"/>
      <c r="AF9" s="850" t="s">
        <v>150</v>
      </c>
      <c r="AG9" s="851"/>
      <c r="AH9" s="930">
        <f>SUM(J9:AG9)</f>
        <v>216</v>
      </c>
      <c r="AI9" s="931"/>
      <c r="AJ9" s="913"/>
      <c r="AK9" s="914"/>
      <c r="AL9" s="880"/>
      <c r="AM9" s="881"/>
      <c r="AN9" s="881"/>
      <c r="AO9" s="881"/>
      <c r="AP9" s="881"/>
      <c r="AQ9" s="881"/>
      <c r="AR9" s="881"/>
      <c r="AS9" s="881"/>
      <c r="AT9" s="881"/>
      <c r="AU9" s="881"/>
      <c r="AV9" s="882"/>
    </row>
    <row r="10" spans="2:50">
      <c r="B10" s="839"/>
      <c r="C10" s="840"/>
      <c r="D10" s="840"/>
      <c r="E10" s="840"/>
      <c r="F10" s="840"/>
      <c r="G10" s="841"/>
      <c r="H10" s="793" t="s">
        <v>50</v>
      </c>
      <c r="I10" s="794"/>
      <c r="J10" s="879">
        <f>+J7*$J$8</f>
        <v>120</v>
      </c>
      <c r="K10" s="797"/>
      <c r="L10" s="797" t="s">
        <v>150</v>
      </c>
      <c r="M10" s="797"/>
      <c r="N10" s="797" t="s">
        <v>150</v>
      </c>
      <c r="O10" s="797"/>
      <c r="P10" s="797" t="s">
        <v>150</v>
      </c>
      <c r="Q10" s="799"/>
      <c r="R10" s="845" t="str">
        <f>IF(R7="-","-",+R7*$R$8)</f>
        <v>-</v>
      </c>
      <c r="S10" s="846"/>
      <c r="T10" s="846" t="s">
        <v>150</v>
      </c>
      <c r="U10" s="876"/>
      <c r="V10" s="845">
        <f>IF(V7="-","-",+V7*$V$8)</f>
        <v>136</v>
      </c>
      <c r="W10" s="846"/>
      <c r="X10" s="847">
        <f>IF(X7="-","-",+X7*$V$8)</f>
        <v>128</v>
      </c>
      <c r="Y10" s="874"/>
      <c r="Z10" s="847">
        <f>IF(Z7="-","-",+Z7*$V$8)</f>
        <v>144</v>
      </c>
      <c r="AA10" s="874"/>
      <c r="AB10" s="847">
        <f>IF(AB7="-","-",+AB7*$V$8)</f>
        <v>112</v>
      </c>
      <c r="AC10" s="875"/>
      <c r="AD10" s="845" t="s">
        <v>150</v>
      </c>
      <c r="AE10" s="846"/>
      <c r="AF10" s="846" t="str">
        <f>IF(AF7="-","-",+AF7*$AF$8)</f>
        <v>-</v>
      </c>
      <c r="AG10" s="876"/>
      <c r="AH10" s="828">
        <f>SUM(J10:AG10)</f>
        <v>640</v>
      </c>
      <c r="AI10" s="829"/>
      <c r="AJ10" s="829"/>
      <c r="AK10" s="830"/>
      <c r="AL10" s="821"/>
      <c r="AM10" s="822"/>
      <c r="AN10" s="822"/>
      <c r="AO10" s="822"/>
      <c r="AP10" s="822"/>
      <c r="AQ10" s="822"/>
      <c r="AR10" s="822"/>
      <c r="AS10" s="822"/>
      <c r="AT10" s="822"/>
      <c r="AU10" s="822"/>
      <c r="AV10" s="823"/>
    </row>
    <row r="11" spans="2:50">
      <c r="B11" s="896" t="s">
        <v>89</v>
      </c>
      <c r="C11" s="897"/>
      <c r="D11" s="897"/>
      <c r="E11" s="897"/>
      <c r="F11" s="897"/>
      <c r="G11" s="897"/>
      <c r="H11" s="897"/>
      <c r="I11" s="898"/>
      <c r="J11" s="899">
        <f>35%*SUMIF(室名リスト!$L$3:$L$10,$X$1,室名リスト!$N$3:$N$10)</f>
        <v>0.27999999999999997</v>
      </c>
      <c r="K11" s="900"/>
      <c r="L11" s="900">
        <f>70%*SUMIF(室名リスト!$L$3:$L$10,$X$1,室名リスト!$N$3:$N$10)</f>
        <v>0.55999999999999994</v>
      </c>
      <c r="M11" s="900"/>
      <c r="N11" s="900">
        <f>80%*SUMIF(室名リスト!$L$3:$L$10,$X$1,室名リスト!$N$3:$N$10)</f>
        <v>0.64000000000000012</v>
      </c>
      <c r="O11" s="900"/>
      <c r="P11" s="900">
        <f>50%*SUMIF(室名リスト!$L$3:$L$10,$X$1,室名リスト!$N$3:$N$10)</f>
        <v>0.4</v>
      </c>
      <c r="Q11" s="901"/>
      <c r="R11" s="902" t="s">
        <v>150</v>
      </c>
      <c r="S11" s="892"/>
      <c r="T11" s="836" t="s">
        <v>150</v>
      </c>
      <c r="U11" s="871"/>
      <c r="V11" s="872">
        <f>45%*SUMIF(室名リスト!$L$3:$L$10,$X$1,室名リスト!$N$3:$N$10)</f>
        <v>0.36000000000000004</v>
      </c>
      <c r="W11" s="873"/>
      <c r="X11" s="873">
        <f>60%*SUMIF(室名リスト!$L$3:$L$10,$X$1,室名リスト!$N$3:$N$10)</f>
        <v>0.48</v>
      </c>
      <c r="Y11" s="873"/>
      <c r="Z11" s="873">
        <f>60%*SUMIF(室名リスト!$L$3:$L$10,$X$1,室名リスト!$N$3:$N$10)</f>
        <v>0.48</v>
      </c>
      <c r="AA11" s="873"/>
      <c r="AB11" s="873">
        <f>35%*SUMIF(室名リスト!$L$3:$L$10,$X$1,室名リスト!$N$3:$N$10)</f>
        <v>0.27999999999999997</v>
      </c>
      <c r="AC11" s="891"/>
      <c r="AD11" s="838" t="s">
        <v>82</v>
      </c>
      <c r="AE11" s="836"/>
      <c r="AF11" s="892" t="s">
        <v>150</v>
      </c>
      <c r="AG11" s="893"/>
      <c r="AH11" s="775"/>
      <c r="AI11" s="755"/>
      <c r="AJ11" s="894"/>
      <c r="AK11" s="895"/>
      <c r="AL11" s="888"/>
      <c r="AM11" s="889"/>
      <c r="AN11" s="889"/>
      <c r="AO11" s="889"/>
      <c r="AP11" s="889"/>
      <c r="AQ11" s="889"/>
      <c r="AR11" s="889"/>
      <c r="AS11" s="889"/>
      <c r="AT11" s="889"/>
      <c r="AU11" s="889"/>
      <c r="AV11" s="890"/>
    </row>
    <row r="12" spans="2:50">
      <c r="B12" s="779" t="s">
        <v>88</v>
      </c>
      <c r="C12" s="780"/>
      <c r="D12" s="780"/>
      <c r="E12" s="780"/>
      <c r="F12" s="780"/>
      <c r="G12" s="781"/>
      <c r="H12" s="785" t="s">
        <v>66</v>
      </c>
      <c r="I12" s="786"/>
      <c r="J12" s="787" t="s">
        <v>150</v>
      </c>
      <c r="K12" s="788"/>
      <c r="L12" s="788">
        <f>+L9*L11</f>
        <v>62.719999999999992</v>
      </c>
      <c r="M12" s="788"/>
      <c r="N12" s="788" t="str">
        <f>IF(N9="-","-",+N9*N11)</f>
        <v>-</v>
      </c>
      <c r="O12" s="788"/>
      <c r="P12" s="788">
        <f>+P9*P11</f>
        <v>41.6</v>
      </c>
      <c r="Q12" s="788"/>
      <c r="R12" s="838" t="s">
        <v>150</v>
      </c>
      <c r="S12" s="836"/>
      <c r="T12" s="836" t="s">
        <v>150</v>
      </c>
      <c r="U12" s="871"/>
      <c r="V12" s="887" t="s">
        <v>150</v>
      </c>
      <c r="W12" s="850"/>
      <c r="X12" s="850" t="s">
        <v>150</v>
      </c>
      <c r="Y12" s="850"/>
      <c r="Z12" s="850" t="s">
        <v>150</v>
      </c>
      <c r="AA12" s="850"/>
      <c r="AB12" s="850" t="s">
        <v>150</v>
      </c>
      <c r="AC12" s="851"/>
      <c r="AD12" s="838" t="s">
        <v>150</v>
      </c>
      <c r="AE12" s="836"/>
      <c r="AF12" s="836" t="s">
        <v>150</v>
      </c>
      <c r="AG12" s="837"/>
      <c r="AH12" s="775">
        <f t="shared" ref="AH12:AH21" si="0">SUM(J12:AG12)</f>
        <v>104.32</v>
      </c>
      <c r="AI12" s="755"/>
      <c r="AJ12" s="755">
        <f>SUM(AH12:AI13)</f>
        <v>348.79999999999995</v>
      </c>
      <c r="AK12" s="756"/>
      <c r="AL12" s="868"/>
      <c r="AM12" s="869"/>
      <c r="AN12" s="869"/>
      <c r="AO12" s="869"/>
      <c r="AP12" s="869"/>
      <c r="AQ12" s="869"/>
      <c r="AR12" s="869"/>
      <c r="AS12" s="869"/>
      <c r="AT12" s="869"/>
      <c r="AU12" s="869"/>
      <c r="AV12" s="870"/>
    </row>
    <row r="13" spans="2:50">
      <c r="B13" s="839"/>
      <c r="C13" s="840"/>
      <c r="D13" s="840"/>
      <c r="E13" s="840"/>
      <c r="F13" s="840"/>
      <c r="G13" s="841"/>
      <c r="H13" s="793" t="s">
        <v>50</v>
      </c>
      <c r="I13" s="794"/>
      <c r="J13" s="879">
        <f>+J10*J11</f>
        <v>33.599999999999994</v>
      </c>
      <c r="K13" s="797"/>
      <c r="L13" s="797" t="s">
        <v>150</v>
      </c>
      <c r="M13" s="797"/>
      <c r="N13" s="797" t="s">
        <v>150</v>
      </c>
      <c r="O13" s="797"/>
      <c r="P13" s="797" t="s">
        <v>150</v>
      </c>
      <c r="Q13" s="799"/>
      <c r="R13" s="845" t="str">
        <f>IF(R10="-","-",+R10*R11)</f>
        <v>-</v>
      </c>
      <c r="S13" s="846"/>
      <c r="T13" s="846" t="s">
        <v>150</v>
      </c>
      <c r="U13" s="847"/>
      <c r="V13" s="848">
        <f>IF(V10="-","-",+V10*V11)</f>
        <v>48.960000000000008</v>
      </c>
      <c r="W13" s="849"/>
      <c r="X13" s="798">
        <f>IF(X10="-","-",+X10*X11)</f>
        <v>61.44</v>
      </c>
      <c r="Y13" s="849"/>
      <c r="Z13" s="798">
        <f>IF(Z10="-","-",+Z10*Z11)</f>
        <v>69.12</v>
      </c>
      <c r="AA13" s="849"/>
      <c r="AB13" s="798">
        <f>IF(AB10="-","-",+AB10*AB11)</f>
        <v>31.359999999999996</v>
      </c>
      <c r="AC13" s="878"/>
      <c r="AD13" s="845" t="s">
        <v>150</v>
      </c>
      <c r="AE13" s="846"/>
      <c r="AF13" s="846" t="str">
        <f>IF(AF10="-","-",+AF10*AF11)</f>
        <v>-</v>
      </c>
      <c r="AG13" s="876"/>
      <c r="AH13" s="828">
        <f t="shared" si="0"/>
        <v>244.48</v>
      </c>
      <c r="AI13" s="829"/>
      <c r="AJ13" s="829"/>
      <c r="AK13" s="830"/>
      <c r="AL13" s="821"/>
      <c r="AM13" s="822"/>
      <c r="AN13" s="822"/>
      <c r="AO13" s="822"/>
      <c r="AP13" s="822"/>
      <c r="AQ13" s="822"/>
      <c r="AR13" s="822"/>
      <c r="AS13" s="822"/>
      <c r="AT13" s="822"/>
      <c r="AU13" s="822"/>
      <c r="AV13" s="823"/>
    </row>
    <row r="14" spans="2:50">
      <c r="B14" s="779" t="s">
        <v>87</v>
      </c>
      <c r="C14" s="780"/>
      <c r="D14" s="780"/>
      <c r="E14" s="780"/>
      <c r="F14" s="780"/>
      <c r="G14" s="781"/>
      <c r="H14" s="785" t="s">
        <v>66</v>
      </c>
      <c r="I14" s="786"/>
      <c r="J14" s="787" t="s">
        <v>150</v>
      </c>
      <c r="K14" s="788"/>
      <c r="L14" s="789">
        <f>IF(L9="-",31*24,31*24-L9)</f>
        <v>632</v>
      </c>
      <c r="M14" s="789"/>
      <c r="N14" s="836">
        <f>IF(N9="-",31*24,31*24-N9)</f>
        <v>744</v>
      </c>
      <c r="O14" s="836"/>
      <c r="P14" s="789">
        <f>IF(P9="-",30*24,30*24-P9)</f>
        <v>616</v>
      </c>
      <c r="Q14" s="877"/>
      <c r="R14" s="838" t="s">
        <v>150</v>
      </c>
      <c r="S14" s="836"/>
      <c r="T14" s="836" t="s">
        <v>150</v>
      </c>
      <c r="U14" s="871"/>
      <c r="V14" s="838" t="s">
        <v>150</v>
      </c>
      <c r="W14" s="836"/>
      <c r="X14" s="836" t="s">
        <v>150</v>
      </c>
      <c r="Y14" s="836"/>
      <c r="Z14" s="836" t="s">
        <v>150</v>
      </c>
      <c r="AA14" s="836"/>
      <c r="AB14" s="836" t="s">
        <v>150</v>
      </c>
      <c r="AC14" s="837"/>
      <c r="AD14" s="838" t="s">
        <v>150</v>
      </c>
      <c r="AE14" s="836"/>
      <c r="AF14" s="836" t="s">
        <v>150</v>
      </c>
      <c r="AG14" s="837"/>
      <c r="AH14" s="775">
        <f t="shared" si="0"/>
        <v>1992</v>
      </c>
      <c r="AI14" s="755"/>
      <c r="AJ14" s="755">
        <f>SUM(AH14:AI15)</f>
        <v>7904</v>
      </c>
      <c r="AK14" s="756"/>
      <c r="AL14" s="868"/>
      <c r="AM14" s="869"/>
      <c r="AN14" s="869"/>
      <c r="AO14" s="869"/>
      <c r="AP14" s="869"/>
      <c r="AQ14" s="869"/>
      <c r="AR14" s="869"/>
      <c r="AS14" s="869"/>
      <c r="AT14" s="869"/>
      <c r="AU14" s="869"/>
      <c r="AV14" s="870"/>
    </row>
    <row r="15" spans="2:50" ht="14.25" thickBot="1">
      <c r="B15" s="782"/>
      <c r="C15" s="783"/>
      <c r="D15" s="783"/>
      <c r="E15" s="783"/>
      <c r="F15" s="783"/>
      <c r="G15" s="784"/>
      <c r="H15" s="761" t="s">
        <v>50</v>
      </c>
      <c r="I15" s="762"/>
      <c r="J15" s="763">
        <f>IF(J10="-",30*24,30*24-J10)</f>
        <v>600</v>
      </c>
      <c r="K15" s="764"/>
      <c r="L15" s="765" t="s">
        <v>150</v>
      </c>
      <c r="M15" s="766"/>
      <c r="N15" s="765" t="s">
        <v>150</v>
      </c>
      <c r="O15" s="766"/>
      <c r="P15" s="765" t="s">
        <v>150</v>
      </c>
      <c r="Q15" s="767"/>
      <c r="R15" s="833">
        <f>IF(R10="-",31*24,31*24-R10)</f>
        <v>744</v>
      </c>
      <c r="S15" s="834"/>
      <c r="T15" s="834">
        <f>IF(T10="-",30*24,30*24-T10)</f>
        <v>720</v>
      </c>
      <c r="U15" s="835"/>
      <c r="V15" s="833">
        <f>IF(V10="-",31*24,31*24-V10)</f>
        <v>608</v>
      </c>
      <c r="W15" s="834"/>
      <c r="X15" s="834">
        <f>IF(X10="-",31*24,31*24-X10)</f>
        <v>616</v>
      </c>
      <c r="Y15" s="834"/>
      <c r="Z15" s="834">
        <f>IF(Z10="-",28*24,28*24-Z10)</f>
        <v>528</v>
      </c>
      <c r="AA15" s="834"/>
      <c r="AB15" s="834">
        <f>IF(AB10="-",31*24,31*24-AB10)</f>
        <v>632</v>
      </c>
      <c r="AC15" s="866"/>
      <c r="AD15" s="867">
        <f>IF(AD10="-",30*24,30*24-AD10)</f>
        <v>720</v>
      </c>
      <c r="AE15" s="834"/>
      <c r="AF15" s="834">
        <f>IF(AF10="-",31*24,31*24-AF10)</f>
        <v>744</v>
      </c>
      <c r="AG15" s="866"/>
      <c r="AH15" s="753">
        <f t="shared" si="0"/>
        <v>5912</v>
      </c>
      <c r="AI15" s="754"/>
      <c r="AJ15" s="754"/>
      <c r="AK15" s="757"/>
      <c r="AL15" s="852"/>
      <c r="AM15" s="853"/>
      <c r="AN15" s="853"/>
      <c r="AO15" s="853"/>
      <c r="AP15" s="853"/>
      <c r="AQ15" s="853"/>
      <c r="AR15" s="853"/>
      <c r="AS15" s="853"/>
      <c r="AT15" s="853"/>
      <c r="AU15" s="853"/>
      <c r="AV15" s="854"/>
    </row>
    <row r="16" spans="2:50" ht="14.25" thickTop="1">
      <c r="B16" s="855" t="s">
        <v>86</v>
      </c>
      <c r="C16" s="856"/>
      <c r="D16" s="856"/>
      <c r="E16" s="856"/>
      <c r="F16" s="856"/>
      <c r="G16" s="857"/>
      <c r="H16" s="858" t="s">
        <v>66</v>
      </c>
      <c r="I16" s="859"/>
      <c r="J16" s="860" t="s">
        <v>150</v>
      </c>
      <c r="K16" s="861"/>
      <c r="L16" s="862">
        <f>IF(L12="-",0,L12*SUMIF('様式11-5'!$G$92:$G$99,'様式11-6⑧'!$Y$1,'様式11-5'!$Q$92:$Q$99))+L14*SUMIF('様式11-5'!$G$92:$G$99,'様式11-6⑧'!$Y$1,'様式11-5'!$T$92:$T$99)</f>
        <v>232.32903529411769</v>
      </c>
      <c r="M16" s="863"/>
      <c r="N16" s="862">
        <f>IF(N12="-",0,N12*SUMIF('様式11-5'!$G$92:$G$99,'様式11-6⑧'!$Y$1,'様式11-5'!$Q$92:$Q$99))+N14*SUMIF('様式11-5'!$G$92:$G$99,'様式11-6⑧'!$Y$1,'様式11-5'!$T$92:$T$99)</f>
        <v>52.517647058823542</v>
      </c>
      <c r="O16" s="863"/>
      <c r="P16" s="862">
        <f>IF(P12="-",0,P12*SUMIF('様式11-5'!$G$92:$G$99,'様式11-6⑧'!$Y$1,'様式11-5'!$Q$92:$Q$99))+P14*SUMIF('様式11-5'!$G$92:$G$99,'様式11-6⑧'!$Y$1,'様式11-5'!$T$92:$T$99)</f>
        <v>167.98870588235297</v>
      </c>
      <c r="Q16" s="862"/>
      <c r="R16" s="864" t="s">
        <v>150</v>
      </c>
      <c r="S16" s="816"/>
      <c r="T16" s="816" t="s">
        <v>150</v>
      </c>
      <c r="U16" s="865"/>
      <c r="V16" s="864" t="s">
        <v>150</v>
      </c>
      <c r="W16" s="816"/>
      <c r="X16" s="816" t="s">
        <v>150</v>
      </c>
      <c r="Y16" s="816"/>
      <c r="Z16" s="816" t="s">
        <v>150</v>
      </c>
      <c r="AA16" s="816"/>
      <c r="AB16" s="816" t="s">
        <v>150</v>
      </c>
      <c r="AC16" s="817"/>
      <c r="AD16" s="818" t="s">
        <v>150</v>
      </c>
      <c r="AE16" s="816"/>
      <c r="AF16" s="816" t="s">
        <v>150</v>
      </c>
      <c r="AG16" s="817"/>
      <c r="AH16" s="819">
        <f t="shared" si="0"/>
        <v>452.8353882352942</v>
      </c>
      <c r="AI16" s="820"/>
      <c r="AJ16" s="820">
        <f>SUM(AH16:AI17)</f>
        <v>4918.3894588235298</v>
      </c>
      <c r="AK16" s="842"/>
      <c r="AL16" s="758"/>
      <c r="AM16" s="759"/>
      <c r="AN16" s="759"/>
      <c r="AO16" s="759"/>
      <c r="AP16" s="759"/>
      <c r="AQ16" s="759"/>
      <c r="AR16" s="759"/>
      <c r="AS16" s="759"/>
      <c r="AT16" s="759"/>
      <c r="AU16" s="759"/>
      <c r="AV16" s="760"/>
    </row>
    <row r="17" spans="2:50">
      <c r="B17" s="839"/>
      <c r="C17" s="840"/>
      <c r="D17" s="840"/>
      <c r="E17" s="840"/>
      <c r="F17" s="840"/>
      <c r="G17" s="841"/>
      <c r="H17" s="793" t="s">
        <v>50</v>
      </c>
      <c r="I17" s="794"/>
      <c r="J17" s="843">
        <f>IF(J13="-",0,J13*SUMIF('様式11-5'!$G$92:$G$99,'様式11-6⑧'!$Y$1,'様式11-5'!$Q$92:$Q$99))+J15*SUMIF('様式11-5'!$G$92:$G$99,'様式11-6⑧'!$Y$1,'様式11-5'!$T$92:$T$99)</f>
        <v>142.91576470588237</v>
      </c>
      <c r="K17" s="844"/>
      <c r="L17" s="797" t="s">
        <v>150</v>
      </c>
      <c r="M17" s="798"/>
      <c r="N17" s="797" t="s">
        <v>150</v>
      </c>
      <c r="O17" s="798"/>
      <c r="P17" s="797" t="s">
        <v>150</v>
      </c>
      <c r="Q17" s="799"/>
      <c r="R17" s="768">
        <f>IF(R13="-",0,R13*SUMIF('様式11-5'!$G$92:$G$99,'様式11-6⑧'!$Y$1,'様式11-5'!$Q$92:$Q$99))+R15*SUMIF('様式11-5'!$G$92:$G$99,'様式11-6⑧'!$Y$1,'様式11-5'!$T$92:$T$99)</f>
        <v>52.517647058823542</v>
      </c>
      <c r="S17" s="814"/>
      <c r="T17" s="769">
        <f>IF(T13="-",0,T13*SUMIF('様式11-5'!$G$92:$G$99,'様式11-6⑧'!$Y$1,'様式11-5'!$R$92:$R$99))+T15*SUMIF('様式11-5'!$G$92:$G$99,'様式11-6⑧'!$Y$1,'様式11-5'!$T$92:$T$99)</f>
        <v>50.823529411764717</v>
      </c>
      <c r="U17" s="815"/>
      <c r="V17" s="795">
        <f>IF(V13="-",0,V13*SUMIF('様式11-5'!$G$92:$G$99,'様式11-6⑧'!$Y$1,'様式11-5'!$R$92:$R$99))+V15*SUMIF('様式11-5'!$G$92:$G$99,'様式11-6⑧'!$Y$1,'様式11-5'!$T$92:$T$99)</f>
        <v>959.44884705882362</v>
      </c>
      <c r="W17" s="796"/>
      <c r="X17" s="824">
        <f>IF(X13="-",0,X13*SUMIF('様式11-5'!$G$92:$G$99,'様式11-6⑧'!$Y$1,'様式11-5'!$R$92:$R$99))+X15*SUMIF('様式11-5'!$G$92:$G$99,'様式11-6⑧'!$Y$1,'様式11-5'!$T$92:$T$99)</f>
        <v>1193.6391529411765</v>
      </c>
      <c r="Y17" s="825"/>
      <c r="Z17" s="824">
        <f>IF(Z13="-",0,Z13*SUMIF('様式11-5'!$G$92:$G$99,'様式11-6⑧'!$Y$1,'様式11-5'!$R$92:$R$99))+Z15*SUMIF('様式11-5'!$G$92:$G$99,'様式11-6⑧'!$Y$1,'様式11-5'!$T$92:$T$99)</f>
        <v>1331.1969882352942</v>
      </c>
      <c r="AA17" s="825"/>
      <c r="AB17" s="824">
        <f>IF(AB13="-",0,AB13*SUMIF('様式11-5'!$G$92:$G$99,'様式11-6⑧'!$Y$1,'様式11-5'!$R$92:$R$99))+AB15*SUMIF('様式11-5'!$G$92:$G$99,'様式11-6⑧'!$Y$1,'様式11-5'!$T$92:$T$99)</f>
        <v>631.67096470588228</v>
      </c>
      <c r="AC17" s="826"/>
      <c r="AD17" s="827">
        <f>IF(AD13="-",0,AD13*SUMIF('様式11-5'!$G$92:$G$99,'様式11-6⑧'!$Y$1,'様式11-5'!$R$92:$R$99))+AD15*SUMIF('様式11-5'!$G$92:$G$99,'様式11-6⑧'!$Y$1,'様式11-5'!$T$92:$T$99)</f>
        <v>50.823529411764717</v>
      </c>
      <c r="AE17" s="769"/>
      <c r="AF17" s="827">
        <f>IF(AF13="-",0,AF13*SUMIF('様式11-5'!$G$92:$G$99,'様式11-6⑧'!$Y$1,'様式11-5'!$Q$92:$Q$99))+AF15*SUMIF('様式11-5'!$G$92:$G$99,'様式11-6⑧'!$Y$1,'様式11-5'!$T$92:$T$99)</f>
        <v>52.517647058823542</v>
      </c>
      <c r="AG17" s="769"/>
      <c r="AH17" s="828">
        <f>SUM(J17:AG17)</f>
        <v>4465.5540705882358</v>
      </c>
      <c r="AI17" s="829"/>
      <c r="AJ17" s="829"/>
      <c r="AK17" s="830"/>
      <c r="AL17" s="821"/>
      <c r="AM17" s="822"/>
      <c r="AN17" s="822"/>
      <c r="AO17" s="822"/>
      <c r="AP17" s="822"/>
      <c r="AQ17" s="822"/>
      <c r="AR17" s="822"/>
      <c r="AS17" s="822"/>
      <c r="AT17" s="822"/>
      <c r="AU17" s="822"/>
      <c r="AV17" s="823"/>
    </row>
    <row r="18" spans="2:50">
      <c r="B18" s="779" t="s">
        <v>85</v>
      </c>
      <c r="C18" s="780"/>
      <c r="D18" s="780"/>
      <c r="E18" s="780"/>
      <c r="F18" s="780"/>
      <c r="G18" s="781"/>
      <c r="H18" s="785" t="s">
        <v>66</v>
      </c>
      <c r="I18" s="786"/>
      <c r="J18" s="787" t="s">
        <v>150</v>
      </c>
      <c r="K18" s="788"/>
      <c r="L18" s="772">
        <f>IF(L9="-",0,L9*SUMIF('様式11-5'!$G$100:$G$107,'様式11-6⑧'!$Y$1,'様式11-5'!$R$100:$R$107))+L14*SUMIF('様式11-5'!$G$100:$G$107,'様式11-6⑧'!$Y$1,'様式11-5'!$T$100:$T$107)</f>
        <v>15.680000000000001</v>
      </c>
      <c r="M18" s="772"/>
      <c r="N18" s="772">
        <f>IF(N9="-",0,N9*SUMIF('様式11-5'!$G$100:$G$107,'様式11-6⑧'!$Y$1,'様式11-5'!$R$100:$R$107))+N14*SUMIF('様式11-5'!$G$100:$G$107,'様式11-6⑧'!$Y$1,'様式11-5'!$T$100:$T$107)</f>
        <v>0</v>
      </c>
      <c r="O18" s="772"/>
      <c r="P18" s="789">
        <f>IF(P9="-",0,P9*SUMIF('様式11-5'!$G$100:$G$107,'様式11-6⑧'!$Y$1,'様式11-5'!$R$100:$R$107))+P14*SUMIF('様式11-5'!$G$100:$G$107,'様式11-6⑧'!$Y$1,'様式11-5'!$T$100:$T$107)</f>
        <v>14.560000000000002</v>
      </c>
      <c r="Q18" s="789"/>
      <c r="R18" s="791" t="s">
        <v>150</v>
      </c>
      <c r="S18" s="772"/>
      <c r="T18" s="772" t="s">
        <v>150</v>
      </c>
      <c r="U18" s="792"/>
      <c r="V18" s="791" t="s">
        <v>150</v>
      </c>
      <c r="W18" s="772"/>
      <c r="X18" s="772" t="s">
        <v>150</v>
      </c>
      <c r="Y18" s="772"/>
      <c r="Z18" s="772" t="s">
        <v>150</v>
      </c>
      <c r="AA18" s="772"/>
      <c r="AB18" s="772" t="s">
        <v>150</v>
      </c>
      <c r="AC18" s="773"/>
      <c r="AD18" s="774" t="s">
        <v>150</v>
      </c>
      <c r="AE18" s="772"/>
      <c r="AF18" s="772" t="s">
        <v>150</v>
      </c>
      <c r="AG18" s="773"/>
      <c r="AH18" s="775">
        <f t="shared" si="0"/>
        <v>30.240000000000002</v>
      </c>
      <c r="AI18" s="755"/>
      <c r="AJ18" s="755">
        <f>SUM(AH18:AI19)</f>
        <v>119.84000000000003</v>
      </c>
      <c r="AK18" s="756"/>
      <c r="AL18" s="758"/>
      <c r="AM18" s="759"/>
      <c r="AN18" s="759"/>
      <c r="AO18" s="759"/>
      <c r="AP18" s="759"/>
      <c r="AQ18" s="759"/>
      <c r="AR18" s="759"/>
      <c r="AS18" s="759"/>
      <c r="AT18" s="759"/>
      <c r="AU18" s="759"/>
      <c r="AV18" s="760"/>
    </row>
    <row r="19" spans="2:50">
      <c r="B19" s="839"/>
      <c r="C19" s="840"/>
      <c r="D19" s="840"/>
      <c r="E19" s="840"/>
      <c r="F19" s="840"/>
      <c r="G19" s="841"/>
      <c r="H19" s="793" t="s">
        <v>50</v>
      </c>
      <c r="I19" s="794"/>
      <c r="J19" s="795">
        <f>IF(J10="-",0,J10*SUMIF('様式11-5'!$G$100:$G$107,'様式11-6⑧'!$Y$1,'様式11-5'!$R$100:$R$107))+J15*SUMIF('様式11-5'!$G$100:$G$107,'様式11-6⑧'!$Y$1,'様式11-5'!$T$100:$T$107)</f>
        <v>16.8</v>
      </c>
      <c r="K19" s="796"/>
      <c r="L19" s="797" t="s">
        <v>150</v>
      </c>
      <c r="M19" s="798"/>
      <c r="N19" s="797" t="s">
        <v>150</v>
      </c>
      <c r="O19" s="798"/>
      <c r="P19" s="797" t="s">
        <v>150</v>
      </c>
      <c r="Q19" s="799"/>
      <c r="R19" s="768">
        <f>IF(R10="-",0,R10*SUMIF('様式11-5'!$G$100:$G$107,'様式11-6⑧'!$Y$1,'様式11-5'!$R$100:$R$107))+R15*SUMIF('様式11-5'!$G$100:$G$107,'様式11-6⑧'!$Y$1,'様式11-5'!$T$100:$T$107)</f>
        <v>0</v>
      </c>
      <c r="S19" s="769"/>
      <c r="T19" s="814">
        <f>IF(T10="-",0,T10*SUMIF('様式11-5'!$G$100:$G$107,'様式11-6⑧'!$Y$1,'様式11-5'!$R$100:$R$107))+T15*SUMIF('様式11-5'!$G$100:$G$107,'様式11-6⑧'!$Y$1,'様式11-5'!$T$100:$T$107)</f>
        <v>0</v>
      </c>
      <c r="U19" s="831"/>
      <c r="V19" s="832">
        <f>IF(V10="-",0,V10*SUMIF('様式11-5'!$G$100:$G$107,'様式11-6⑧'!$Y$1,'様式11-5'!$R$100:$R$107))+V15*SUMIF('様式11-5'!$G$100:$G$107,'様式11-6⑧'!$Y$1,'様式11-5'!$T$100:$T$107)</f>
        <v>19.040000000000003</v>
      </c>
      <c r="W19" s="825"/>
      <c r="X19" s="824">
        <f>IF(X10="-",0,X10*SUMIF('様式11-5'!$G$100:$G$107,'様式11-6⑧'!$Y$1,'様式11-5'!$R$100:$R$107))+X15*SUMIF('様式11-5'!$G$100:$G$107,'様式11-6⑧'!$Y$1,'様式11-5'!$T$100:$T$107)</f>
        <v>17.920000000000002</v>
      </c>
      <c r="Y19" s="825"/>
      <c r="Z19" s="824">
        <f>IF(Z10="-",0,Z10*SUMIF('様式11-5'!$G$100:$G$107,'様式11-6⑧'!$Y$1,'様式11-5'!$R$100:$R$107))+Z15*SUMIF('様式11-5'!$G$100:$G$107,'様式11-6⑧'!$Y$1,'様式11-5'!$T$100:$T$107)</f>
        <v>20.160000000000004</v>
      </c>
      <c r="AA19" s="825"/>
      <c r="AB19" s="824">
        <f>IF(AB10="-",0,AB10*SUMIF('様式11-5'!$G$100:$G$107,'様式11-6⑧'!$Y$1,'様式11-5'!$R$100:$R$107))+AB15*SUMIF('様式11-5'!$G$100:$G$107,'様式11-6⑧'!$Y$1,'様式11-5'!$T$100:$T$107)</f>
        <v>15.680000000000001</v>
      </c>
      <c r="AC19" s="826"/>
      <c r="AD19" s="827">
        <f>IF(AD10="-",0,AD10*SUMIF('様式11-5'!$G$100:$G$107,'様式11-6⑧'!$Y$1,'様式11-5'!$R$100:$R$107))+AD15*SUMIF('様式11-5'!$G$100:$G$107,'様式11-6⑧'!$Y$1,'様式11-5'!$T$100:$T$107)</f>
        <v>0</v>
      </c>
      <c r="AE19" s="769"/>
      <c r="AF19" s="827">
        <f>IF(AF10="-",0,AF10*SUMIF('様式11-5'!$G$100:$G$107,'様式11-6⑧'!$Y$1,'様式11-5'!$R$100:$R$107))+AF15*SUMIF('様式11-5'!$G$100:$G$107,'様式11-6⑧'!$Y$1,'様式11-5'!$T$100:$T$107)</f>
        <v>0</v>
      </c>
      <c r="AG19" s="769"/>
      <c r="AH19" s="828">
        <f t="shared" si="0"/>
        <v>89.600000000000023</v>
      </c>
      <c r="AI19" s="829"/>
      <c r="AJ19" s="829"/>
      <c r="AK19" s="830"/>
      <c r="AL19" s="821"/>
      <c r="AM19" s="822"/>
      <c r="AN19" s="822"/>
      <c r="AO19" s="822"/>
      <c r="AP19" s="822"/>
      <c r="AQ19" s="822"/>
      <c r="AR19" s="822"/>
      <c r="AS19" s="822"/>
      <c r="AT19" s="822"/>
      <c r="AU19" s="822"/>
      <c r="AV19" s="823"/>
    </row>
    <row r="20" spans="2:50">
      <c r="B20" s="779" t="s">
        <v>84</v>
      </c>
      <c r="C20" s="780"/>
      <c r="D20" s="780"/>
      <c r="E20" s="780"/>
      <c r="F20" s="780"/>
      <c r="G20" s="781"/>
      <c r="H20" s="785" t="s">
        <v>66</v>
      </c>
      <c r="I20" s="786"/>
      <c r="J20" s="787" t="s">
        <v>150</v>
      </c>
      <c r="K20" s="788"/>
      <c r="L20" s="789">
        <f>IF(L9="-",0,L9*SUMIF('様式11-5'!$G$108:$G$115,'様式11-6⑧'!$Y$1,'様式11-5'!$Q$108:$Q$115))+L14*SUMIF('様式11-5'!$G$108:$G$115,'様式11-6⑧'!$Y$1,'様式11-5'!$T$108:$T$115)</f>
        <v>11.200000000000001</v>
      </c>
      <c r="M20" s="790"/>
      <c r="N20" s="789">
        <f>IF(N9="-",0,N9*SUMIF('様式11-5'!$G$108:$G$115,'様式11-6⑧'!$Y$1,'様式11-5'!$Q$108:$Q$115))+N14*SUMIF('様式11-5'!$G$108:$G$115,'様式11-6⑧'!$Y$1,'様式11-5'!$T$108:$T$115)</f>
        <v>0</v>
      </c>
      <c r="O20" s="790"/>
      <c r="P20" s="789">
        <f>IF(P9="-",0,P9*SUMIF('様式11-5'!$G$108:$G$115,'様式11-6⑧'!$Y$1,'様式11-5'!$Q$108:$Q$115))+P14*SUMIF('様式11-5'!$G$108:$G$115,'様式11-6⑧'!$Y$1,'様式11-5'!$T$108:$T$115)</f>
        <v>10.4</v>
      </c>
      <c r="Q20" s="789"/>
      <c r="R20" s="791" t="s">
        <v>150</v>
      </c>
      <c r="S20" s="772"/>
      <c r="T20" s="772" t="s">
        <v>150</v>
      </c>
      <c r="U20" s="792"/>
      <c r="V20" s="791" t="s">
        <v>150</v>
      </c>
      <c r="W20" s="772"/>
      <c r="X20" s="772" t="s">
        <v>150</v>
      </c>
      <c r="Y20" s="772"/>
      <c r="Z20" s="772" t="s">
        <v>150</v>
      </c>
      <c r="AA20" s="772"/>
      <c r="AB20" s="772" t="s">
        <v>150</v>
      </c>
      <c r="AC20" s="773"/>
      <c r="AD20" s="774" t="s">
        <v>150</v>
      </c>
      <c r="AE20" s="772"/>
      <c r="AF20" s="772" t="s">
        <v>150</v>
      </c>
      <c r="AG20" s="773"/>
      <c r="AH20" s="775">
        <f t="shared" si="0"/>
        <v>21.6</v>
      </c>
      <c r="AI20" s="755"/>
      <c r="AJ20" s="755">
        <f>SUM(AH20:AI21)</f>
        <v>85.6</v>
      </c>
      <c r="AK20" s="756"/>
      <c r="AL20" s="758"/>
      <c r="AM20" s="759"/>
      <c r="AN20" s="759"/>
      <c r="AO20" s="759"/>
      <c r="AP20" s="759"/>
      <c r="AQ20" s="759"/>
      <c r="AR20" s="759"/>
      <c r="AS20" s="759"/>
      <c r="AT20" s="759"/>
      <c r="AU20" s="759"/>
      <c r="AV20" s="760"/>
    </row>
    <row r="21" spans="2:50" ht="14.25" thickBot="1">
      <c r="B21" s="782"/>
      <c r="C21" s="783"/>
      <c r="D21" s="783"/>
      <c r="E21" s="783"/>
      <c r="F21" s="783"/>
      <c r="G21" s="784"/>
      <c r="H21" s="761" t="s">
        <v>50</v>
      </c>
      <c r="I21" s="762"/>
      <c r="J21" s="763">
        <f>IF(J10="-",0,J10*SUMIF('様式11-5'!$G$108:$G$115,'様式11-6⑧'!$Y$1,'様式11-5'!$Q$108:$Q$115))+J15*SUMIF('様式11-5'!$G$108:$G$115,'様式11-6⑧'!$Y$1,'様式11-5'!$T$108:$T$115)</f>
        <v>12</v>
      </c>
      <c r="K21" s="764"/>
      <c r="L21" s="765" t="s">
        <v>150</v>
      </c>
      <c r="M21" s="766"/>
      <c r="N21" s="765" t="s">
        <v>150</v>
      </c>
      <c r="O21" s="766"/>
      <c r="P21" s="765" t="s">
        <v>150</v>
      </c>
      <c r="Q21" s="767"/>
      <c r="R21" s="768">
        <f>IF(R10="-",0,R10*SUMIF('様式11-5'!$G$108:$G$115,'様式11-6⑧'!$Y$1,'様式11-5'!$Q$108:$Q$115))+R15*SUMIF('様式11-5'!$G$108:$G$115,'様式11-6⑧'!$Y$1,'様式11-5'!$T$108:$T$115)</f>
        <v>0</v>
      </c>
      <c r="S21" s="769"/>
      <c r="T21" s="720">
        <f>IF(T10="-",0,T10*SUMIF('様式11-5'!$G$108:$G$115,'様式11-6⑧'!$Y$1,'様式11-5'!$R$108:$R$115))+T15*SUMIF('様式11-5'!$G$108:$G$115,'様式11-6⑧'!$Y$1,'様式11-5'!$T$108:$T$115)</f>
        <v>0</v>
      </c>
      <c r="U21" s="722"/>
      <c r="V21" s="770">
        <f>IF(V10="-",0,V10*SUMIF('様式11-5'!$G$108:$G$115,'様式11-6⑧'!$Y$1,'様式11-5'!$R$108:$R$115))+V15*SUMIF('様式11-5'!$G$108:$G$115,'様式11-6⑧'!$Y$1,'様式11-5'!$T$108:$T$115)</f>
        <v>13.600000000000001</v>
      </c>
      <c r="W21" s="771"/>
      <c r="X21" s="748">
        <f>IF(X10="-",0,X10*SUMIF('様式11-5'!$G$108:$G$115,'様式11-6⑧'!$Y$1,'様式11-5'!$R$108:$R$115))+X15*SUMIF('様式11-5'!$G$108:$G$115,'様式11-6⑧'!$Y$1,'様式11-5'!$T$108:$T$115)</f>
        <v>12.8</v>
      </c>
      <c r="Y21" s="749"/>
      <c r="Z21" s="748">
        <f>IF(Z10="-",0,Z10*SUMIF('様式11-5'!$G$108:$G$115,'様式11-6⑧'!$Y$1,'様式11-5'!$R$108:$R$115))+Z15*SUMIF('様式11-5'!$G$108:$G$115,'様式11-6⑧'!$Y$1,'様式11-5'!$T$108:$T$115)</f>
        <v>14.4</v>
      </c>
      <c r="AA21" s="749"/>
      <c r="AB21" s="748">
        <f>IF(AB10="-",0,AB10*SUMIF('様式11-5'!$G$108:$G$115,'様式11-6⑧'!$Y$1,'様式11-5'!$R$108:$R$115))+AB15*SUMIF('様式11-5'!$G$108:$G$115,'様式11-6⑧'!$Y$1,'様式11-5'!$T$108:$T$115)</f>
        <v>11.200000000000001</v>
      </c>
      <c r="AC21" s="750"/>
      <c r="AD21" s="751">
        <f>IF(AD10="-",0,AD10*SUMIF('様式11-5'!$G$108:$G$115,'様式11-6⑧'!$Y$1,'様式11-5'!$R$108:$R$115))+AD15*SUMIF('様式11-5'!$G$108:$G$115,'様式11-6⑧'!$Y$1,'様式11-5'!$T$108:$T$115)</f>
        <v>0</v>
      </c>
      <c r="AE21" s="752"/>
      <c r="AF21" s="751">
        <f>IF(AF10="-",0,AF10*SUMIF('様式11-5'!$G$108:$G$115,'様式11-6⑧'!$Y$1,'様式11-5'!$Q$108:$Q$115))+AF15*SUMIF('様式11-5'!$G$108:$G$115,'様式11-6⑧'!$Y$1,'様式11-5'!$T$108:$T$115)</f>
        <v>0</v>
      </c>
      <c r="AG21" s="752"/>
      <c r="AH21" s="753">
        <f t="shared" si="0"/>
        <v>64</v>
      </c>
      <c r="AI21" s="754"/>
      <c r="AJ21" s="754"/>
      <c r="AK21" s="757"/>
      <c r="AL21" s="776"/>
      <c r="AM21" s="777"/>
      <c r="AN21" s="777"/>
      <c r="AO21" s="777"/>
      <c r="AP21" s="777"/>
      <c r="AQ21" s="777"/>
      <c r="AR21" s="777"/>
      <c r="AS21" s="777"/>
      <c r="AT21" s="777"/>
      <c r="AU21" s="777"/>
      <c r="AV21" s="778"/>
    </row>
    <row r="22" spans="2:50">
      <c r="B22" s="800" t="s">
        <v>83</v>
      </c>
      <c r="C22" s="801"/>
      <c r="D22" s="801"/>
      <c r="E22" s="801"/>
      <c r="F22" s="801"/>
      <c r="G22" s="801"/>
      <c r="H22" s="804" t="s">
        <v>50</v>
      </c>
      <c r="I22" s="805"/>
      <c r="J22" s="806">
        <f>IF(J13="-",0,J13*SUMIF('様式11-5'!$G$92:$G$99,'様式11-6⑧'!$Y$1,'様式11-5'!$X$92:$X$99))</f>
        <v>15.81176470588235</v>
      </c>
      <c r="K22" s="807"/>
      <c r="L22" s="808">
        <f>IF(L12="-",0,L12*SUMIF('様式11-5'!$G$92:$G$99,'様式11-6⑧'!$Y$1,'様式11-5'!$X$92:$X$99))</f>
        <v>29.515294117647056</v>
      </c>
      <c r="M22" s="809"/>
      <c r="N22" s="810">
        <f>IF(N12="-",0,N12*SUMIF('様式11-5'!$G$92:$G$99,'様式11-6⑧'!$Y$1,'様式11-5'!$X$92:$X$99))</f>
        <v>0</v>
      </c>
      <c r="O22" s="810"/>
      <c r="P22" s="808">
        <f>IF(P12="-",0,P12*SUMIF('様式11-5'!$G$92:$G$99,'様式11-6⑧'!$Y$1,'様式11-5'!$X$92:$X$99))</f>
        <v>19.576470588235296</v>
      </c>
      <c r="Q22" s="811"/>
      <c r="R22" s="812">
        <f>IF(R13="-",0,R13*SUMIF('様式11-5'!$G$92:$G$99,'様式11-6⑧'!$Y$1,'様式11-5'!$X$92:$X$99))</f>
        <v>0</v>
      </c>
      <c r="S22" s="743"/>
      <c r="T22" s="743">
        <f>IF(T13="-",0,T13*SUMIF('様式11-5'!$G$92:$G$99,'様式11-6⑧'!$Y$1,'様式11-5'!$X$92:$X$99))</f>
        <v>0</v>
      </c>
      <c r="U22" s="813"/>
      <c r="V22" s="812" t="s">
        <v>150</v>
      </c>
      <c r="W22" s="743"/>
      <c r="X22" s="743" t="s">
        <v>150</v>
      </c>
      <c r="Y22" s="743"/>
      <c r="Z22" s="743" t="s">
        <v>150</v>
      </c>
      <c r="AA22" s="743"/>
      <c r="AB22" s="743" t="s">
        <v>150</v>
      </c>
      <c r="AC22" s="744"/>
      <c r="AD22" s="745">
        <f>IF(AD13="-",0,AD13*SUMIF('様式11-5'!$G$92:$G$99,'様式11-6⑧'!$Y$1,'様式11-5'!$Y$92:$Y$99))</f>
        <v>0</v>
      </c>
      <c r="AE22" s="743"/>
      <c r="AF22" s="743">
        <f>IF(AF13="-",0,AF13*SUMIF('様式11-5'!$G$92:$G$99,'様式11-6⑧'!$Y$1,'様式11-5'!$X$92:$X$99))</f>
        <v>0</v>
      </c>
      <c r="AG22" s="744"/>
      <c r="AH22" s="746">
        <f>SUM(J22:AG22)</f>
        <v>64.903529411764708</v>
      </c>
      <c r="AI22" s="747"/>
      <c r="AJ22" s="747"/>
      <c r="AK22" s="747"/>
      <c r="AL22" s="731"/>
      <c r="AM22" s="732"/>
      <c r="AN22" s="732"/>
      <c r="AO22" s="732"/>
      <c r="AP22" s="732"/>
      <c r="AQ22" s="732"/>
      <c r="AR22" s="732"/>
      <c r="AS22" s="732"/>
      <c r="AT22" s="732"/>
      <c r="AU22" s="732"/>
      <c r="AV22" s="733"/>
    </row>
    <row r="23" spans="2:50" ht="14.25" thickBot="1">
      <c r="B23" s="802"/>
      <c r="C23" s="803"/>
      <c r="D23" s="803"/>
      <c r="E23" s="803"/>
      <c r="F23" s="803"/>
      <c r="G23" s="803"/>
      <c r="H23" s="734" t="s">
        <v>49</v>
      </c>
      <c r="I23" s="735"/>
      <c r="J23" s="736" t="s">
        <v>150</v>
      </c>
      <c r="K23" s="737"/>
      <c r="L23" s="737" t="s">
        <v>150</v>
      </c>
      <c r="M23" s="737"/>
      <c r="N23" s="737" t="s">
        <v>150</v>
      </c>
      <c r="O23" s="737"/>
      <c r="P23" s="737" t="s">
        <v>150</v>
      </c>
      <c r="Q23" s="738"/>
      <c r="R23" s="739" t="s">
        <v>150</v>
      </c>
      <c r="S23" s="724"/>
      <c r="T23" s="724" t="s">
        <v>150</v>
      </c>
      <c r="U23" s="740"/>
      <c r="V23" s="741">
        <f>IF(V13="-",0,V13*SUMIF('様式11-5'!$G$92:$G$99,'様式11-6⑧'!$Y$1,'様式11-5'!$Y$92:$Y$99))</f>
        <v>0</v>
      </c>
      <c r="W23" s="742"/>
      <c r="X23" s="720">
        <f>IF(X13="-",0,X13*SUMIF('様式11-5'!$G$92:$G$99,'様式11-6⑧'!$Y$1,'様式11-5'!$Y$92:$Y$99))</f>
        <v>0</v>
      </c>
      <c r="Y23" s="721"/>
      <c r="Z23" s="720">
        <f>IF(Z13="-",0,Z13*SUMIF('様式11-5'!$G$92:$G$99,'様式11-6⑧'!$Y$1,'様式11-5'!$Y$92:$Y$99))</f>
        <v>0</v>
      </c>
      <c r="AA23" s="721"/>
      <c r="AB23" s="720">
        <f>IF(AB13="-",0,AB13*SUMIF('様式11-5'!$G$92:$G$99,'様式11-6⑧'!$Y$1,'様式11-5'!$Y$92:$Y$99))</f>
        <v>0</v>
      </c>
      <c r="AC23" s="722"/>
      <c r="AD23" s="723" t="s">
        <v>150</v>
      </c>
      <c r="AE23" s="724"/>
      <c r="AF23" s="724" t="s">
        <v>150</v>
      </c>
      <c r="AG23" s="725"/>
      <c r="AH23" s="726">
        <f>SUM(J23:AG23)</f>
        <v>0</v>
      </c>
      <c r="AI23" s="727"/>
      <c r="AJ23" s="727"/>
      <c r="AK23" s="727"/>
      <c r="AL23" s="728"/>
      <c r="AM23" s="729"/>
      <c r="AN23" s="729"/>
      <c r="AO23" s="729"/>
      <c r="AP23" s="729"/>
      <c r="AQ23" s="729"/>
      <c r="AR23" s="729"/>
      <c r="AS23" s="729"/>
      <c r="AT23" s="729"/>
      <c r="AU23" s="729"/>
      <c r="AV23" s="730"/>
    </row>
    <row r="24" spans="2:50" ht="13.5" customHeight="1">
      <c r="AL24" s="10"/>
      <c r="AM24" s="10"/>
      <c r="AN24" s="10"/>
      <c r="AO24" s="10"/>
      <c r="AP24" s="10"/>
      <c r="AQ24" s="145"/>
      <c r="AR24" s="145"/>
      <c r="AS24" s="145"/>
      <c r="AT24" s="145"/>
      <c r="AU24" s="145"/>
      <c r="AV24" s="145"/>
    </row>
    <row r="25" spans="2:50" ht="13.5" customHeight="1" thickBot="1">
      <c r="B25" s="6" t="s">
        <v>129</v>
      </c>
      <c r="AL25" s="10" t="s">
        <v>81</v>
      </c>
      <c r="AM25" s="10"/>
      <c r="AN25" s="10"/>
      <c r="AO25" s="10"/>
      <c r="AP25" s="10"/>
      <c r="AQ25" s="145"/>
      <c r="AR25" s="145"/>
      <c r="AS25" s="145"/>
      <c r="AT25" s="145"/>
      <c r="AU25" s="145"/>
      <c r="AV25" s="145"/>
    </row>
    <row r="26" spans="2:50" ht="13.5" customHeight="1">
      <c r="B26" s="696" t="s">
        <v>80</v>
      </c>
      <c r="C26" s="697"/>
      <c r="D26" s="697"/>
      <c r="E26" s="698" t="s">
        <v>2</v>
      </c>
      <c r="F26" s="697"/>
      <c r="G26" s="697"/>
      <c r="H26" s="699"/>
      <c r="I26" s="698" t="s">
        <v>79</v>
      </c>
      <c r="J26" s="697"/>
      <c r="K26" s="697"/>
      <c r="L26" s="697"/>
      <c r="M26" s="697"/>
      <c r="N26" s="697"/>
      <c r="O26" s="697"/>
      <c r="P26" s="697"/>
      <c r="Q26" s="699"/>
      <c r="R26" s="698" t="s">
        <v>78</v>
      </c>
      <c r="S26" s="697"/>
      <c r="T26" s="697"/>
      <c r="U26" s="697"/>
      <c r="V26" s="697"/>
      <c r="W26" s="697"/>
      <c r="X26" s="697"/>
      <c r="Y26" s="697"/>
      <c r="Z26" s="697"/>
      <c r="AA26" s="697"/>
      <c r="AB26" s="697"/>
      <c r="AC26" s="697"/>
      <c r="AD26" s="697"/>
      <c r="AE26" s="697"/>
      <c r="AF26" s="697"/>
      <c r="AG26" s="699"/>
      <c r="AH26" s="698" t="s">
        <v>77</v>
      </c>
      <c r="AI26" s="697"/>
      <c r="AJ26" s="697"/>
      <c r="AK26" s="700"/>
      <c r="AL26" s="605" t="s">
        <v>2</v>
      </c>
      <c r="AM26" s="606"/>
      <c r="AN26" s="680" t="s">
        <v>76</v>
      </c>
      <c r="AO26" s="681"/>
      <c r="AP26" s="681"/>
      <c r="AQ26" s="682"/>
      <c r="AR26" s="680" t="s">
        <v>75</v>
      </c>
      <c r="AS26" s="681"/>
      <c r="AT26" s="681"/>
      <c r="AU26" s="681"/>
      <c r="AV26" s="683"/>
      <c r="AW26" s="7"/>
      <c r="AX26" s="7"/>
    </row>
    <row r="27" spans="2:50" ht="13.5" customHeight="1">
      <c r="B27" s="688" t="s">
        <v>104</v>
      </c>
      <c r="C27" s="690" t="s">
        <v>74</v>
      </c>
      <c r="D27" s="691"/>
      <c r="E27" s="542" t="s">
        <v>73</v>
      </c>
      <c r="F27" s="543"/>
      <c r="G27" s="543"/>
      <c r="H27" s="544"/>
      <c r="I27" s="146" t="s">
        <v>54</v>
      </c>
      <c r="J27" s="28"/>
      <c r="K27" s="28"/>
      <c r="L27" s="28"/>
      <c r="M27" s="28"/>
      <c r="N27" s="28"/>
      <c r="O27" s="28"/>
      <c r="P27" s="28"/>
      <c r="Q27" s="147"/>
      <c r="R27" s="548">
        <f>IF($AJ$16+$AJ$18+$AJ$20=0,0,料金単価!$C$3)</f>
        <v>1285.8699999999999</v>
      </c>
      <c r="S27" s="548"/>
      <c r="T27" s="28" t="s">
        <v>71</v>
      </c>
      <c r="U27" s="28"/>
      <c r="V27" s="28"/>
      <c r="W27" s="549">
        <f>SUMIF('様式11-5'!$G$92:$G$99,'様式11-6⑧'!$Y$1,'様式11-5'!$Q$92:$Q$99)+SUMIF('様式11-5'!$G$100:$G$107,'様式11-6⑧'!$Y$1,'様式11-5'!$R$100:$R$107)+SUMIF('様式11-5'!$G$108:$G$115,'様式11-6⑧'!$Y$1,'様式11-5'!$Q$108:$Q$115)</f>
        <v>3.2329411764705891</v>
      </c>
      <c r="X27" s="549"/>
      <c r="Y27" s="28" t="s">
        <v>70</v>
      </c>
      <c r="Z27" s="28"/>
      <c r="AA27" s="28">
        <v>1</v>
      </c>
      <c r="AB27" s="28" t="s">
        <v>69</v>
      </c>
      <c r="AC27" s="28"/>
      <c r="AD27" s="36">
        <v>0.85</v>
      </c>
      <c r="AE27" s="28" t="s">
        <v>68</v>
      </c>
      <c r="AF27" s="28"/>
      <c r="AG27" s="28"/>
      <c r="AH27" s="640">
        <f>R27*W27*AA27*AD27</f>
        <v>3533.570760000001</v>
      </c>
      <c r="AI27" s="641"/>
      <c r="AJ27" s="641"/>
      <c r="AK27" s="642"/>
      <c r="AL27" s="633" t="s">
        <v>0</v>
      </c>
      <c r="AM27" s="634"/>
      <c r="AN27" s="659">
        <v>0.44900000000000001</v>
      </c>
      <c r="AO27" s="660"/>
      <c r="AP27" s="661" t="s">
        <v>72</v>
      </c>
      <c r="AQ27" s="662"/>
      <c r="AR27" s="663">
        <f>AN27*AB30/1000</f>
        <v>7.7100378352941187E-2</v>
      </c>
      <c r="AS27" s="664"/>
      <c r="AT27" s="664"/>
      <c r="AU27" s="661" t="s">
        <v>42</v>
      </c>
      <c r="AV27" s="674"/>
      <c r="AW27" s="7"/>
      <c r="AX27" s="7"/>
    </row>
    <row r="28" spans="2:50" ht="13.5" customHeight="1">
      <c r="B28" s="689"/>
      <c r="C28" s="692"/>
      <c r="D28" s="693"/>
      <c r="E28" s="545"/>
      <c r="F28" s="546"/>
      <c r="G28" s="546"/>
      <c r="H28" s="547"/>
      <c r="I28" s="677" t="s">
        <v>47</v>
      </c>
      <c r="J28" s="618"/>
      <c r="K28" s="678"/>
      <c r="L28" s="679" t="s">
        <v>67</v>
      </c>
      <c r="M28" s="618"/>
      <c r="N28" s="618"/>
      <c r="O28" s="678"/>
      <c r="P28" s="643" t="s">
        <v>50</v>
      </c>
      <c r="Q28" s="646"/>
      <c r="R28" s="34" t="s">
        <v>157</v>
      </c>
      <c r="S28" s="33">
        <f>IF(P28="夏季",料金単価!$D$3,料金単価!$E$3)</f>
        <v>12.63</v>
      </c>
      <c r="T28" s="148" t="s">
        <v>62</v>
      </c>
      <c r="U28" s="149">
        <f>料金単価!$F$3</f>
        <v>7.29</v>
      </c>
      <c r="V28" s="148" t="s">
        <v>62</v>
      </c>
      <c r="W28" s="150">
        <f>料金単価!$G$3</f>
        <v>3.45</v>
      </c>
      <c r="X28" s="151" t="s">
        <v>64</v>
      </c>
      <c r="Y28" s="24" t="s">
        <v>61</v>
      </c>
      <c r="Z28" s="151"/>
      <c r="AA28" s="32"/>
      <c r="AB28" s="702">
        <f>J$17+J$19+J$21</f>
        <v>171.71576470588238</v>
      </c>
      <c r="AC28" s="702"/>
      <c r="AD28" s="24" t="s">
        <v>63</v>
      </c>
      <c r="AE28" s="24"/>
      <c r="AF28" s="24"/>
      <c r="AG28" s="152"/>
      <c r="AH28" s="648">
        <f>(S28+U28+W28)*AB28</f>
        <v>4012.9974211764716</v>
      </c>
      <c r="AI28" s="649"/>
      <c r="AJ28" s="649"/>
      <c r="AK28" s="650"/>
      <c r="AL28" s="617"/>
      <c r="AM28" s="618"/>
      <c r="AN28" s="594"/>
      <c r="AO28" s="595"/>
      <c r="AP28" s="613"/>
      <c r="AQ28" s="614"/>
      <c r="AR28" s="625"/>
      <c r="AS28" s="626"/>
      <c r="AT28" s="626"/>
      <c r="AU28" s="613"/>
      <c r="AV28" s="675"/>
      <c r="AW28" s="7"/>
      <c r="AX28" s="7"/>
    </row>
    <row r="29" spans="2:50" ht="13.5" customHeight="1">
      <c r="B29" s="689"/>
      <c r="C29" s="692"/>
      <c r="D29" s="693"/>
      <c r="E29" s="545"/>
      <c r="F29" s="546"/>
      <c r="G29" s="546"/>
      <c r="H29" s="547"/>
      <c r="I29" s="273"/>
      <c r="J29" s="269"/>
      <c r="K29" s="269"/>
      <c r="L29" s="271"/>
      <c r="M29" s="271"/>
      <c r="N29" s="271"/>
      <c r="O29" s="271"/>
      <c r="P29" s="271"/>
      <c r="Q29" s="272"/>
      <c r="R29" s="31"/>
      <c r="S29" s="157" t="s">
        <v>60</v>
      </c>
      <c r="T29" s="158"/>
      <c r="U29" s="159" t="s">
        <v>59</v>
      </c>
      <c r="V29" s="158"/>
      <c r="W29" s="160" t="s">
        <v>58</v>
      </c>
      <c r="X29" s="161"/>
      <c r="Y29" s="30"/>
      <c r="Z29" s="161"/>
      <c r="AA29" s="51"/>
      <c r="AB29" s="52"/>
      <c r="AC29" s="52"/>
      <c r="AD29" s="30"/>
      <c r="AE29" s="30"/>
      <c r="AF29" s="30"/>
      <c r="AG29" s="270"/>
      <c r="AH29" s="703"/>
      <c r="AI29" s="704"/>
      <c r="AJ29" s="704"/>
      <c r="AK29" s="705"/>
      <c r="AL29" s="617"/>
      <c r="AM29" s="618"/>
      <c r="AN29" s="594"/>
      <c r="AO29" s="595"/>
      <c r="AP29" s="613"/>
      <c r="AQ29" s="614"/>
      <c r="AR29" s="625"/>
      <c r="AS29" s="626"/>
      <c r="AT29" s="626"/>
      <c r="AU29" s="613"/>
      <c r="AV29" s="675"/>
      <c r="AW29" s="7"/>
      <c r="AX29" s="7"/>
    </row>
    <row r="30" spans="2:50" ht="13.5" customHeight="1">
      <c r="B30" s="689"/>
      <c r="C30" s="694"/>
      <c r="D30" s="695"/>
      <c r="E30" s="708" t="s">
        <v>44</v>
      </c>
      <c r="F30" s="709"/>
      <c r="G30" s="709"/>
      <c r="H30" s="710"/>
      <c r="I30" s="163"/>
      <c r="J30" s="25"/>
      <c r="K30" s="25"/>
      <c r="L30" s="25"/>
      <c r="M30" s="25"/>
      <c r="N30" s="25"/>
      <c r="O30" s="25"/>
      <c r="P30" s="25"/>
      <c r="Q30" s="164"/>
      <c r="R30" s="254"/>
      <c r="S30" s="254"/>
      <c r="T30" s="25"/>
      <c r="U30" s="25"/>
      <c r="V30" s="25"/>
      <c r="W30" s="165"/>
      <c r="X30" s="260"/>
      <c r="Y30" s="260"/>
      <c r="Z30" s="167"/>
      <c r="AA30" s="168"/>
      <c r="AB30" s="711">
        <f>SUM(AB28:AC28)</f>
        <v>171.71576470588238</v>
      </c>
      <c r="AC30" s="711"/>
      <c r="AD30" s="169" t="s">
        <v>57</v>
      </c>
      <c r="AE30" s="25"/>
      <c r="AF30" s="25"/>
      <c r="AG30" s="25"/>
      <c r="AH30" s="712">
        <f>SUM(AH27:AK28)</f>
        <v>7546.5681811764725</v>
      </c>
      <c r="AI30" s="713"/>
      <c r="AJ30" s="713"/>
      <c r="AK30" s="714"/>
      <c r="AL30" s="617"/>
      <c r="AM30" s="618"/>
      <c r="AN30" s="594"/>
      <c r="AO30" s="595"/>
      <c r="AP30" s="613"/>
      <c r="AQ30" s="614"/>
      <c r="AR30" s="625"/>
      <c r="AS30" s="626"/>
      <c r="AT30" s="626"/>
      <c r="AU30" s="613"/>
      <c r="AV30" s="675"/>
      <c r="AW30" s="7"/>
      <c r="AX30" s="7"/>
    </row>
    <row r="31" spans="2:50" ht="13.5" customHeight="1">
      <c r="B31" s="689"/>
      <c r="C31" s="690" t="s">
        <v>56</v>
      </c>
      <c r="D31" s="691"/>
      <c r="E31" s="638" t="s">
        <v>55</v>
      </c>
      <c r="F31" s="543"/>
      <c r="G31" s="543"/>
      <c r="H31" s="544"/>
      <c r="I31" s="146" t="s">
        <v>54</v>
      </c>
      <c r="J31" s="28"/>
      <c r="K31" s="28"/>
      <c r="L31" s="28"/>
      <c r="M31" s="28"/>
      <c r="N31" s="28"/>
      <c r="O31" s="28"/>
      <c r="P31" s="28"/>
      <c r="Q31" s="147"/>
      <c r="R31" s="37" t="s">
        <v>111</v>
      </c>
      <c r="S31" s="639">
        <f>IF('様式11-5'!U$1="LPG",0,IF(J$22&lt;50,料金単価!$C$7,(IF(J$22&lt;100,料金単価!$C$8,IF($J$22&lt;250,料金単価!$C$9,IF($J$22&lt;500,料金単価!$C$10,IF($J$22&lt;800,料金単価!$C$11,料金単価!$C$12)))))))</f>
        <v>0</v>
      </c>
      <c r="T31" s="639"/>
      <c r="U31" s="28" t="s">
        <v>53</v>
      </c>
      <c r="V31" s="54"/>
      <c r="W31" s="29"/>
      <c r="X31" s="29"/>
      <c r="Y31" s="29"/>
      <c r="Z31" s="29"/>
      <c r="AA31" s="29"/>
      <c r="AB31" s="28">
        <v>1</v>
      </c>
      <c r="AC31" s="251" t="s">
        <v>51</v>
      </c>
      <c r="AD31" s="28"/>
      <c r="AE31" s="28"/>
      <c r="AF31" s="28"/>
      <c r="AG31" s="28"/>
      <c r="AH31" s="640">
        <f>IF($AH$22+$AH$23=0,0,S31*AB31)</f>
        <v>0</v>
      </c>
      <c r="AI31" s="641"/>
      <c r="AJ31" s="641"/>
      <c r="AK31" s="642"/>
      <c r="AL31" s="658" t="s">
        <v>55</v>
      </c>
      <c r="AM31" s="634"/>
      <c r="AN31" s="659">
        <v>2.29</v>
      </c>
      <c r="AO31" s="660"/>
      <c r="AP31" s="661" t="s">
        <v>45</v>
      </c>
      <c r="AQ31" s="662"/>
      <c r="AR31" s="663">
        <f>AN31*Z33/1000</f>
        <v>0</v>
      </c>
      <c r="AS31" s="664"/>
      <c r="AT31" s="664"/>
      <c r="AU31" s="550" t="s">
        <v>42</v>
      </c>
      <c r="AV31" s="551"/>
      <c r="AW31" s="7"/>
      <c r="AX31" s="7"/>
    </row>
    <row r="32" spans="2:50" ht="13.5" customHeight="1">
      <c r="B32" s="689"/>
      <c r="C32" s="692"/>
      <c r="D32" s="693"/>
      <c r="E32" s="545"/>
      <c r="F32" s="546"/>
      <c r="G32" s="546"/>
      <c r="H32" s="547"/>
      <c r="I32" s="170" t="s">
        <v>47</v>
      </c>
      <c r="J32" s="23"/>
      <c r="K32" s="23"/>
      <c r="L32" s="23"/>
      <c r="M32" s="23"/>
      <c r="N32" s="23"/>
      <c r="O32" s="23"/>
      <c r="P32" s="23" t="s">
        <v>50</v>
      </c>
      <c r="Q32" s="171"/>
      <c r="R32" s="34" t="s">
        <v>111</v>
      </c>
      <c r="S32" s="556">
        <f>IF(P32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32" s="556"/>
      <c r="U32" s="23" t="s">
        <v>48</v>
      </c>
      <c r="V32" s="172" t="s">
        <v>110</v>
      </c>
      <c r="W32" s="173">
        <f>料金単価!$F$7</f>
        <v>14.55</v>
      </c>
      <c r="X32" s="258" t="s">
        <v>112</v>
      </c>
      <c r="Y32" s="259" t="s">
        <v>113</v>
      </c>
      <c r="Z32" s="719">
        <f>IF('様式11-5'!U$1="LPG",0,J$22)</f>
        <v>0</v>
      </c>
      <c r="AA32" s="719"/>
      <c r="AB32" s="23" t="s">
        <v>46</v>
      </c>
      <c r="AC32" s="23"/>
      <c r="AD32" s="23"/>
      <c r="AE32" s="23"/>
      <c r="AF32" s="23"/>
      <c r="AG32" s="23"/>
      <c r="AH32" s="558">
        <f>(S32+W32)*Z32</f>
        <v>0</v>
      </c>
      <c r="AI32" s="559"/>
      <c r="AJ32" s="559"/>
      <c r="AK32" s="560"/>
      <c r="AL32" s="617"/>
      <c r="AM32" s="618"/>
      <c r="AN32" s="594"/>
      <c r="AO32" s="595"/>
      <c r="AP32" s="613"/>
      <c r="AQ32" s="614"/>
      <c r="AR32" s="625"/>
      <c r="AS32" s="626"/>
      <c r="AT32" s="626"/>
      <c r="AU32" s="552"/>
      <c r="AV32" s="553"/>
      <c r="AW32" s="7"/>
      <c r="AX32" s="7"/>
    </row>
    <row r="33" spans="2:50" ht="13.5" customHeight="1">
      <c r="B33" s="689"/>
      <c r="C33" s="692"/>
      <c r="D33" s="693"/>
      <c r="E33" s="708" t="s">
        <v>44</v>
      </c>
      <c r="F33" s="709"/>
      <c r="G33" s="709"/>
      <c r="H33" s="710"/>
      <c r="I33" s="163"/>
      <c r="J33" s="25"/>
      <c r="K33" s="25"/>
      <c r="L33" s="25"/>
      <c r="M33" s="25"/>
      <c r="N33" s="25"/>
      <c r="O33" s="25"/>
      <c r="P33" s="25"/>
      <c r="Q33" s="164"/>
      <c r="R33" s="254"/>
      <c r="S33" s="254"/>
      <c r="T33" s="25"/>
      <c r="U33" s="25"/>
      <c r="V33" s="25"/>
      <c r="W33" s="165"/>
      <c r="X33" s="260"/>
      <c r="Y33" s="260"/>
      <c r="Z33" s="715">
        <f>SUM(Z32:Z32)</f>
        <v>0</v>
      </c>
      <c r="AA33" s="715"/>
      <c r="AB33" s="167" t="s">
        <v>43</v>
      </c>
      <c r="AC33" s="167"/>
      <c r="AD33" s="25"/>
      <c r="AE33" s="25"/>
      <c r="AF33" s="25"/>
      <c r="AG33" s="25"/>
      <c r="AH33" s="712">
        <f>SUM(AH31:AK32)</f>
        <v>0</v>
      </c>
      <c r="AI33" s="713"/>
      <c r="AJ33" s="713"/>
      <c r="AK33" s="714"/>
      <c r="AL33" s="619"/>
      <c r="AM33" s="620"/>
      <c r="AN33" s="621"/>
      <c r="AO33" s="622"/>
      <c r="AP33" s="623"/>
      <c r="AQ33" s="624"/>
      <c r="AR33" s="627"/>
      <c r="AS33" s="628"/>
      <c r="AT33" s="628"/>
      <c r="AU33" s="554"/>
      <c r="AV33" s="555"/>
      <c r="AW33" s="7"/>
      <c r="AX33" s="7"/>
    </row>
    <row r="34" spans="2:50" ht="13.5" customHeight="1">
      <c r="B34" s="689"/>
      <c r="C34" s="692"/>
      <c r="D34" s="693"/>
      <c r="E34" s="638" t="s">
        <v>52</v>
      </c>
      <c r="F34" s="543"/>
      <c r="G34" s="543"/>
      <c r="H34" s="544"/>
      <c r="I34" s="146" t="s">
        <v>54</v>
      </c>
      <c r="J34" s="28"/>
      <c r="K34" s="28"/>
      <c r="L34" s="28"/>
      <c r="M34" s="28"/>
      <c r="N34" s="28"/>
      <c r="O34" s="28"/>
      <c r="P34" s="28"/>
      <c r="Q34" s="147"/>
      <c r="R34" s="641">
        <f>IF(AND('様式11-5'!U$1="LPG",OR('様式11-5'!$X$51&gt;2.5,'様式11-5'!$Y$51&gt;2.5)),料金単価!$C$18+料金単価!$C$19,IF('様式11-5'!U$1="LPG",料金単価!$C$18,0))</f>
        <v>1320</v>
      </c>
      <c r="S34" s="641"/>
      <c r="T34" s="28" t="s">
        <v>53</v>
      </c>
      <c r="U34" s="28"/>
      <c r="V34" s="29"/>
      <c r="W34" s="29"/>
      <c r="X34" s="29"/>
      <c r="Y34" s="29"/>
      <c r="Z34" s="29"/>
      <c r="AA34" s="29"/>
      <c r="AB34" s="28">
        <v>1</v>
      </c>
      <c r="AC34" s="251" t="s">
        <v>51</v>
      </c>
      <c r="AD34" s="28"/>
      <c r="AE34" s="28"/>
      <c r="AF34" s="28"/>
      <c r="AG34" s="28"/>
      <c r="AH34" s="640">
        <f>IF($AH$22+$AH$23=0,0,R34*AB34)</f>
        <v>1320</v>
      </c>
      <c r="AI34" s="641"/>
      <c r="AJ34" s="641"/>
      <c r="AK34" s="642"/>
      <c r="AL34" s="617" t="s">
        <v>52</v>
      </c>
      <c r="AM34" s="618"/>
      <c r="AN34" s="594">
        <v>6</v>
      </c>
      <c r="AO34" s="595"/>
      <c r="AP34" s="613" t="s">
        <v>45</v>
      </c>
      <c r="AQ34" s="614"/>
      <c r="AR34" s="625">
        <f>AN34*X36/1000</f>
        <v>9.4870588235294095E-2</v>
      </c>
      <c r="AS34" s="626"/>
      <c r="AT34" s="626"/>
      <c r="AU34" s="552" t="s">
        <v>42</v>
      </c>
      <c r="AV34" s="553"/>
      <c r="AW34" s="7"/>
      <c r="AX34" s="7"/>
    </row>
    <row r="35" spans="2:50" ht="13.5" customHeight="1">
      <c r="B35" s="689"/>
      <c r="C35" s="692"/>
      <c r="D35" s="693"/>
      <c r="E35" s="545"/>
      <c r="F35" s="546"/>
      <c r="G35" s="546"/>
      <c r="H35" s="547"/>
      <c r="I35" s="170" t="s">
        <v>47</v>
      </c>
      <c r="J35" s="23"/>
      <c r="K35" s="23"/>
      <c r="L35" s="23"/>
      <c r="M35" s="23"/>
      <c r="N35" s="23"/>
      <c r="O35" s="23"/>
      <c r="P35" s="23"/>
      <c r="Q35" s="171"/>
      <c r="R35" s="706">
        <f>料金単価!$D$18</f>
        <v>440</v>
      </c>
      <c r="S35" s="707"/>
      <c r="T35" s="23" t="s">
        <v>48</v>
      </c>
      <c r="U35" s="23"/>
      <c r="V35" s="23"/>
      <c r="W35" s="23"/>
      <c r="X35" s="657">
        <f>IF('様式11-5'!U$1="LPG",J$22,0)</f>
        <v>15.81176470588235</v>
      </c>
      <c r="Y35" s="644"/>
      <c r="Z35" s="23" t="s">
        <v>46</v>
      </c>
      <c r="AA35" s="23"/>
      <c r="AB35" s="23"/>
      <c r="AC35" s="24"/>
      <c r="AD35" s="23"/>
      <c r="AE35" s="23"/>
      <c r="AF35" s="23"/>
      <c r="AG35" s="23"/>
      <c r="AH35" s="558">
        <f>R35*X35</f>
        <v>6957.1764705882342</v>
      </c>
      <c r="AI35" s="559"/>
      <c r="AJ35" s="559"/>
      <c r="AK35" s="560"/>
      <c r="AL35" s="617"/>
      <c r="AM35" s="618"/>
      <c r="AN35" s="594"/>
      <c r="AO35" s="595"/>
      <c r="AP35" s="613"/>
      <c r="AQ35" s="614"/>
      <c r="AR35" s="625"/>
      <c r="AS35" s="626"/>
      <c r="AT35" s="626"/>
      <c r="AU35" s="552"/>
      <c r="AV35" s="553"/>
      <c r="AW35" s="7"/>
      <c r="AX35" s="7"/>
    </row>
    <row r="36" spans="2:50" ht="13.5" customHeight="1" thickBot="1">
      <c r="B36" s="689"/>
      <c r="C36" s="694"/>
      <c r="D36" s="695"/>
      <c r="E36" s="708" t="s">
        <v>44</v>
      </c>
      <c r="F36" s="709"/>
      <c r="G36" s="709"/>
      <c r="H36" s="710"/>
      <c r="I36" s="163"/>
      <c r="J36" s="25"/>
      <c r="K36" s="25"/>
      <c r="L36" s="25"/>
      <c r="M36" s="25"/>
      <c r="N36" s="25"/>
      <c r="O36" s="25"/>
      <c r="P36" s="25"/>
      <c r="Q36" s="164"/>
      <c r="R36" s="254"/>
      <c r="S36" s="254"/>
      <c r="T36" s="25"/>
      <c r="U36" s="25"/>
      <c r="V36" s="25"/>
      <c r="W36" s="165"/>
      <c r="X36" s="716">
        <f>SUM(X35:Y35)</f>
        <v>15.81176470588235</v>
      </c>
      <c r="Y36" s="716"/>
      <c r="Z36" s="25" t="s">
        <v>43</v>
      </c>
      <c r="AA36" s="25"/>
      <c r="AB36" s="25"/>
      <c r="AC36" s="26"/>
      <c r="AD36" s="25"/>
      <c r="AE36" s="25"/>
      <c r="AF36" s="25"/>
      <c r="AG36" s="25"/>
      <c r="AH36" s="712">
        <f>SUM(AH34:AK35)</f>
        <v>8277.1764705882342</v>
      </c>
      <c r="AI36" s="713"/>
      <c r="AJ36" s="713"/>
      <c r="AK36" s="714"/>
      <c r="AL36" s="619"/>
      <c r="AM36" s="620"/>
      <c r="AN36" s="621"/>
      <c r="AO36" s="622"/>
      <c r="AP36" s="623"/>
      <c r="AQ36" s="624"/>
      <c r="AR36" s="627"/>
      <c r="AS36" s="628"/>
      <c r="AT36" s="628"/>
      <c r="AU36" s="554"/>
      <c r="AV36" s="555"/>
      <c r="AW36" s="7"/>
      <c r="AX36" s="7"/>
    </row>
    <row r="37" spans="2:50" ht="13.5" customHeight="1">
      <c r="B37" s="696" t="s">
        <v>80</v>
      </c>
      <c r="C37" s="697"/>
      <c r="D37" s="697"/>
      <c r="E37" s="698" t="s">
        <v>2</v>
      </c>
      <c r="F37" s="697"/>
      <c r="G37" s="697"/>
      <c r="H37" s="699"/>
      <c r="I37" s="698" t="s">
        <v>79</v>
      </c>
      <c r="J37" s="697"/>
      <c r="K37" s="697"/>
      <c r="L37" s="697"/>
      <c r="M37" s="697"/>
      <c r="N37" s="697"/>
      <c r="O37" s="697"/>
      <c r="P37" s="697"/>
      <c r="Q37" s="699"/>
      <c r="R37" s="698" t="s">
        <v>78</v>
      </c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699"/>
      <c r="AH37" s="698" t="s">
        <v>77</v>
      </c>
      <c r="AI37" s="697"/>
      <c r="AJ37" s="697"/>
      <c r="AK37" s="700"/>
      <c r="AL37" s="605" t="s">
        <v>2</v>
      </c>
      <c r="AM37" s="606"/>
      <c r="AN37" s="680" t="s">
        <v>76</v>
      </c>
      <c r="AO37" s="681"/>
      <c r="AP37" s="681"/>
      <c r="AQ37" s="682"/>
      <c r="AR37" s="680" t="s">
        <v>75</v>
      </c>
      <c r="AS37" s="681"/>
      <c r="AT37" s="681"/>
      <c r="AU37" s="681"/>
      <c r="AV37" s="683"/>
      <c r="AW37" s="7"/>
      <c r="AX37" s="7"/>
    </row>
    <row r="38" spans="2:50" ht="13.5" customHeight="1">
      <c r="B38" s="688" t="s">
        <v>103</v>
      </c>
      <c r="C38" s="690" t="s">
        <v>74</v>
      </c>
      <c r="D38" s="691"/>
      <c r="E38" s="542" t="s">
        <v>73</v>
      </c>
      <c r="F38" s="543"/>
      <c r="G38" s="543"/>
      <c r="H38" s="544"/>
      <c r="I38" s="146" t="s">
        <v>54</v>
      </c>
      <c r="J38" s="28"/>
      <c r="K38" s="28"/>
      <c r="L38" s="28"/>
      <c r="M38" s="28"/>
      <c r="N38" s="28"/>
      <c r="O38" s="28"/>
      <c r="P38" s="28"/>
      <c r="Q38" s="147"/>
      <c r="R38" s="548">
        <f>IF($AJ$16+$AJ$18+$AJ$20=0,0,料金単価!$C$3)</f>
        <v>1285.8699999999999</v>
      </c>
      <c r="S38" s="548"/>
      <c r="T38" s="28" t="s">
        <v>71</v>
      </c>
      <c r="U38" s="28"/>
      <c r="V38" s="28"/>
      <c r="W38" s="549">
        <f>$W$27</f>
        <v>3.2329411764705891</v>
      </c>
      <c r="X38" s="549"/>
      <c r="Y38" s="28" t="s">
        <v>70</v>
      </c>
      <c r="Z38" s="28"/>
      <c r="AA38" s="28">
        <v>1</v>
      </c>
      <c r="AB38" s="28" t="s">
        <v>69</v>
      </c>
      <c r="AC38" s="28"/>
      <c r="AD38" s="36">
        <v>0.85</v>
      </c>
      <c r="AE38" s="28" t="s">
        <v>68</v>
      </c>
      <c r="AF38" s="28"/>
      <c r="AG38" s="28"/>
      <c r="AH38" s="640">
        <f>R38*W38*AA38*AD38</f>
        <v>3533.570760000001</v>
      </c>
      <c r="AI38" s="641"/>
      <c r="AJ38" s="641"/>
      <c r="AK38" s="642"/>
      <c r="AL38" s="633" t="s">
        <v>0</v>
      </c>
      <c r="AM38" s="634"/>
      <c r="AN38" s="659">
        <f>AN27</f>
        <v>0.44900000000000001</v>
      </c>
      <c r="AO38" s="660"/>
      <c r="AP38" s="661" t="s">
        <v>72</v>
      </c>
      <c r="AQ38" s="662"/>
      <c r="AR38" s="663">
        <f>AN38*AB41/1000</f>
        <v>0.11638485684705886</v>
      </c>
      <c r="AS38" s="664"/>
      <c r="AT38" s="664"/>
      <c r="AU38" s="661" t="s">
        <v>42</v>
      </c>
      <c r="AV38" s="674"/>
      <c r="AW38" s="7"/>
      <c r="AX38" s="7"/>
    </row>
    <row r="39" spans="2:50" ht="13.5" customHeight="1">
      <c r="B39" s="689"/>
      <c r="C39" s="692"/>
      <c r="D39" s="693"/>
      <c r="E39" s="545"/>
      <c r="F39" s="546"/>
      <c r="G39" s="546"/>
      <c r="H39" s="547"/>
      <c r="I39" s="677" t="s">
        <v>47</v>
      </c>
      <c r="J39" s="618"/>
      <c r="K39" s="678"/>
      <c r="L39" s="679" t="s">
        <v>67</v>
      </c>
      <c r="M39" s="618"/>
      <c r="N39" s="618"/>
      <c r="O39" s="678"/>
      <c r="P39" s="643" t="s">
        <v>66</v>
      </c>
      <c r="Q39" s="646"/>
      <c r="R39" s="34" t="s">
        <v>157</v>
      </c>
      <c r="S39" s="33">
        <f>IF(P39="夏季",料金単価!$D$3,料金単価!$E$3)</f>
        <v>13.49</v>
      </c>
      <c r="T39" s="148" t="s">
        <v>62</v>
      </c>
      <c r="U39" s="149">
        <f>$U$28</f>
        <v>7.29</v>
      </c>
      <c r="V39" s="148" t="s">
        <v>62</v>
      </c>
      <c r="W39" s="150">
        <f>$W$28</f>
        <v>3.45</v>
      </c>
      <c r="X39" s="151" t="s">
        <v>64</v>
      </c>
      <c r="Y39" s="24" t="s">
        <v>61</v>
      </c>
      <c r="Z39" s="151"/>
      <c r="AA39" s="32"/>
      <c r="AB39" s="702">
        <f>L$16+L$18+L$20</f>
        <v>259.20903529411771</v>
      </c>
      <c r="AC39" s="702"/>
      <c r="AD39" s="24" t="s">
        <v>63</v>
      </c>
      <c r="AE39" s="24"/>
      <c r="AF39" s="24"/>
      <c r="AG39" s="152"/>
      <c r="AH39" s="648">
        <f>(S39+U39+W39)*AB39</f>
        <v>6280.6349251764723</v>
      </c>
      <c r="AI39" s="649"/>
      <c r="AJ39" s="649"/>
      <c r="AK39" s="650"/>
      <c r="AL39" s="617"/>
      <c r="AM39" s="618"/>
      <c r="AN39" s="594"/>
      <c r="AO39" s="595"/>
      <c r="AP39" s="613"/>
      <c r="AQ39" s="614"/>
      <c r="AR39" s="625"/>
      <c r="AS39" s="626"/>
      <c r="AT39" s="626"/>
      <c r="AU39" s="613"/>
      <c r="AV39" s="675"/>
      <c r="AW39" s="7"/>
      <c r="AX39" s="7"/>
    </row>
    <row r="40" spans="2:50" ht="13.5" customHeight="1">
      <c r="B40" s="689"/>
      <c r="C40" s="692"/>
      <c r="D40" s="693"/>
      <c r="E40" s="545"/>
      <c r="F40" s="546"/>
      <c r="G40" s="546"/>
      <c r="H40" s="547"/>
      <c r="I40" s="255"/>
      <c r="J40" s="252"/>
      <c r="K40" s="252"/>
      <c r="L40" s="259"/>
      <c r="M40" s="259"/>
      <c r="N40" s="259"/>
      <c r="O40" s="259"/>
      <c r="P40" s="259"/>
      <c r="Q40" s="256"/>
      <c r="R40" s="31"/>
      <c r="S40" s="157" t="s">
        <v>60</v>
      </c>
      <c r="T40" s="175"/>
      <c r="U40" s="176" t="s">
        <v>59</v>
      </c>
      <c r="V40" s="175"/>
      <c r="W40" s="160" t="s">
        <v>58</v>
      </c>
      <c r="Y40" s="30"/>
      <c r="AA40" s="10"/>
      <c r="AB40" s="52"/>
      <c r="AC40" s="52"/>
      <c r="AD40" s="30"/>
      <c r="AE40" s="30"/>
      <c r="AF40" s="30"/>
      <c r="AG40" s="253"/>
      <c r="AH40" s="703"/>
      <c r="AI40" s="704"/>
      <c r="AJ40" s="704"/>
      <c r="AK40" s="705"/>
      <c r="AL40" s="617"/>
      <c r="AM40" s="618"/>
      <c r="AN40" s="594"/>
      <c r="AO40" s="595"/>
      <c r="AP40" s="613"/>
      <c r="AQ40" s="614"/>
      <c r="AR40" s="625"/>
      <c r="AS40" s="626"/>
      <c r="AT40" s="626"/>
      <c r="AU40" s="613"/>
      <c r="AV40" s="675"/>
      <c r="AW40" s="7"/>
      <c r="AX40" s="7"/>
    </row>
    <row r="41" spans="2:50" ht="13.5" customHeight="1">
      <c r="B41" s="689"/>
      <c r="C41" s="694"/>
      <c r="D41" s="695"/>
      <c r="E41" s="708" t="s">
        <v>44</v>
      </c>
      <c r="F41" s="709"/>
      <c r="G41" s="709"/>
      <c r="H41" s="710"/>
      <c r="I41" s="163"/>
      <c r="J41" s="25"/>
      <c r="K41" s="25"/>
      <c r="L41" s="25"/>
      <c r="M41" s="25"/>
      <c r="N41" s="25"/>
      <c r="O41" s="25"/>
      <c r="P41" s="25"/>
      <c r="Q41" s="164"/>
      <c r="R41" s="254"/>
      <c r="S41" s="254"/>
      <c r="T41" s="25"/>
      <c r="U41" s="25"/>
      <c r="V41" s="25"/>
      <c r="W41" s="165"/>
      <c r="X41" s="260"/>
      <c r="Y41" s="260"/>
      <c r="Z41" s="167"/>
      <c r="AA41" s="168"/>
      <c r="AB41" s="711">
        <f>SUM(AB39:AC39)</f>
        <v>259.20903529411771</v>
      </c>
      <c r="AC41" s="711"/>
      <c r="AD41" s="169" t="s">
        <v>57</v>
      </c>
      <c r="AE41" s="25"/>
      <c r="AF41" s="25"/>
      <c r="AG41" s="25"/>
      <c r="AH41" s="712">
        <f>SUM(AH38:AK39)</f>
        <v>9814.2056851764737</v>
      </c>
      <c r="AI41" s="713"/>
      <c r="AJ41" s="713"/>
      <c r="AK41" s="714"/>
      <c r="AL41" s="617"/>
      <c r="AM41" s="618"/>
      <c r="AN41" s="594"/>
      <c r="AO41" s="595"/>
      <c r="AP41" s="613"/>
      <c r="AQ41" s="614"/>
      <c r="AR41" s="625"/>
      <c r="AS41" s="626"/>
      <c r="AT41" s="626"/>
      <c r="AU41" s="613"/>
      <c r="AV41" s="675"/>
      <c r="AW41" s="7"/>
      <c r="AX41" s="7"/>
    </row>
    <row r="42" spans="2:50" ht="13.5" customHeight="1">
      <c r="B42" s="689"/>
      <c r="C42" s="690" t="s">
        <v>56</v>
      </c>
      <c r="D42" s="691"/>
      <c r="E42" s="638" t="s">
        <v>55</v>
      </c>
      <c r="F42" s="543"/>
      <c r="G42" s="543"/>
      <c r="H42" s="544"/>
      <c r="I42" s="146" t="s">
        <v>54</v>
      </c>
      <c r="J42" s="28"/>
      <c r="K42" s="28"/>
      <c r="L42" s="28"/>
      <c r="M42" s="28"/>
      <c r="N42" s="28"/>
      <c r="O42" s="28"/>
      <c r="P42" s="28"/>
      <c r="Q42" s="147"/>
      <c r="R42" s="37" t="s">
        <v>111</v>
      </c>
      <c r="S42" s="639">
        <f>IF('様式11-5'!U$1="LPG",0,IF(L$22&lt;50,料金単価!$C$7,(IF(L$22&lt;100,料金単価!$C$8,IF($L$22&lt;250,料金単価!$C$9,IF($L$22&lt;500,料金単価!$C$10,IF($L$22&lt;800,料金単価!$C$11,料金単価!$C$12)))))))</f>
        <v>0</v>
      </c>
      <c r="T42" s="639"/>
      <c r="U42" s="28" t="s">
        <v>53</v>
      </c>
      <c r="V42" s="54"/>
      <c r="W42" s="29"/>
      <c r="X42" s="29"/>
      <c r="Y42" s="29"/>
      <c r="Z42" s="29"/>
      <c r="AA42" s="29"/>
      <c r="AB42" s="28">
        <v>1</v>
      </c>
      <c r="AC42" s="251" t="s">
        <v>51</v>
      </c>
      <c r="AD42" s="28"/>
      <c r="AE42" s="28"/>
      <c r="AF42" s="28"/>
      <c r="AG42" s="28"/>
      <c r="AH42" s="640">
        <f>IF($AH$22+$AH$23=0,0,S42*AB42)</f>
        <v>0</v>
      </c>
      <c r="AI42" s="641"/>
      <c r="AJ42" s="641"/>
      <c r="AK42" s="642"/>
      <c r="AL42" s="658" t="s">
        <v>55</v>
      </c>
      <c r="AM42" s="634"/>
      <c r="AN42" s="659">
        <f>AN31</f>
        <v>2.29</v>
      </c>
      <c r="AO42" s="660"/>
      <c r="AP42" s="661" t="s">
        <v>45</v>
      </c>
      <c r="AQ42" s="662"/>
      <c r="AR42" s="663">
        <f>AN42*Z44/1000</f>
        <v>0</v>
      </c>
      <c r="AS42" s="664"/>
      <c r="AT42" s="664"/>
      <c r="AU42" s="550" t="s">
        <v>42</v>
      </c>
      <c r="AV42" s="551"/>
      <c r="AW42" s="7"/>
      <c r="AX42" s="7"/>
    </row>
    <row r="43" spans="2:50" ht="13.5" customHeight="1">
      <c r="B43" s="689"/>
      <c r="C43" s="692"/>
      <c r="D43" s="693"/>
      <c r="E43" s="545"/>
      <c r="F43" s="546"/>
      <c r="G43" s="546"/>
      <c r="H43" s="547"/>
      <c r="I43" s="170" t="s">
        <v>47</v>
      </c>
      <c r="J43" s="23"/>
      <c r="K43" s="23"/>
      <c r="L43" s="23"/>
      <c r="M43" s="23"/>
      <c r="N43" s="23"/>
      <c r="O43" s="23"/>
      <c r="P43" s="23" t="s">
        <v>50</v>
      </c>
      <c r="Q43" s="171"/>
      <c r="R43" s="34" t="s">
        <v>111</v>
      </c>
      <c r="S43" s="556">
        <f>IF(P43="冬季",IF(L$22&lt;50,料金単価!$D$7,IF(L$22&lt;100,料金単価!$D$8,IF($L$22&lt;250,料金単価!$D$9,IF($L$22&lt;500,料金単価!$D$10,IF($L$22&lt;800,料金単価!$D$11,料金単価!$D$12))))),IF(L$22&lt;50,料金単価!$E$7,IF(L$22&lt;100,料金単価!$E$8,IF(L$22&lt;250,料金単価!$E$9,IF(L$22&lt;500,料金単価!$E$10,IF(L$22&lt;800,料金単価!$E$11,料金単価!$E$12))))))</f>
        <v>132.49</v>
      </c>
      <c r="T43" s="556"/>
      <c r="U43" s="23" t="s">
        <v>48</v>
      </c>
      <c r="V43" s="172" t="s">
        <v>110</v>
      </c>
      <c r="W43" s="173">
        <f>W32</f>
        <v>14.55</v>
      </c>
      <c r="X43" s="258" t="s">
        <v>112</v>
      </c>
      <c r="Y43" s="259" t="s">
        <v>113</v>
      </c>
      <c r="Z43" s="719">
        <f>IF('様式11-5'!U$1="LPG",0,L$22)</f>
        <v>0</v>
      </c>
      <c r="AA43" s="719"/>
      <c r="AB43" s="23" t="s">
        <v>46</v>
      </c>
      <c r="AC43" s="23"/>
      <c r="AD43" s="23"/>
      <c r="AE43" s="23"/>
      <c r="AF43" s="23"/>
      <c r="AG43" s="23"/>
      <c r="AH43" s="558">
        <f>(S43+W43)*Z43</f>
        <v>0</v>
      </c>
      <c r="AI43" s="559"/>
      <c r="AJ43" s="559"/>
      <c r="AK43" s="560"/>
      <c r="AL43" s="617"/>
      <c r="AM43" s="618"/>
      <c r="AN43" s="594"/>
      <c r="AO43" s="595"/>
      <c r="AP43" s="613"/>
      <c r="AQ43" s="614"/>
      <c r="AR43" s="625"/>
      <c r="AS43" s="626"/>
      <c r="AT43" s="626"/>
      <c r="AU43" s="552"/>
      <c r="AV43" s="553"/>
      <c r="AW43" s="7"/>
      <c r="AX43" s="7"/>
    </row>
    <row r="44" spans="2:50" ht="13.5" customHeight="1">
      <c r="B44" s="689"/>
      <c r="C44" s="692"/>
      <c r="D44" s="693"/>
      <c r="E44" s="708" t="s">
        <v>44</v>
      </c>
      <c r="F44" s="709"/>
      <c r="G44" s="709"/>
      <c r="H44" s="710"/>
      <c r="I44" s="163"/>
      <c r="J44" s="25"/>
      <c r="K44" s="25"/>
      <c r="L44" s="25"/>
      <c r="M44" s="25"/>
      <c r="N44" s="25"/>
      <c r="O44" s="25"/>
      <c r="P44" s="25"/>
      <c r="Q44" s="164"/>
      <c r="R44" s="254"/>
      <c r="S44" s="254"/>
      <c r="T44" s="25"/>
      <c r="U44" s="25"/>
      <c r="V44" s="25"/>
      <c r="W44" s="165"/>
      <c r="X44" s="260"/>
      <c r="Y44" s="260"/>
      <c r="Z44" s="715">
        <f>SUM(Z43:Z43)</f>
        <v>0</v>
      </c>
      <c r="AA44" s="715"/>
      <c r="AB44" s="167" t="s">
        <v>43</v>
      </c>
      <c r="AC44" s="167"/>
      <c r="AD44" s="25"/>
      <c r="AE44" s="25"/>
      <c r="AF44" s="25"/>
      <c r="AG44" s="25"/>
      <c r="AH44" s="712">
        <f>SUM(AH42:AK43)</f>
        <v>0</v>
      </c>
      <c r="AI44" s="713"/>
      <c r="AJ44" s="713"/>
      <c r="AK44" s="714"/>
      <c r="AL44" s="619"/>
      <c r="AM44" s="620"/>
      <c r="AN44" s="621"/>
      <c r="AO44" s="622"/>
      <c r="AP44" s="623"/>
      <c r="AQ44" s="624"/>
      <c r="AR44" s="627"/>
      <c r="AS44" s="628"/>
      <c r="AT44" s="628"/>
      <c r="AU44" s="554"/>
      <c r="AV44" s="555"/>
      <c r="AW44" s="7"/>
      <c r="AX44" s="7"/>
    </row>
    <row r="45" spans="2:50" ht="13.5" customHeight="1">
      <c r="B45" s="689"/>
      <c r="C45" s="692"/>
      <c r="D45" s="693"/>
      <c r="E45" s="638" t="s">
        <v>52</v>
      </c>
      <c r="F45" s="543"/>
      <c r="G45" s="543"/>
      <c r="H45" s="544"/>
      <c r="I45" s="146" t="s">
        <v>54</v>
      </c>
      <c r="J45" s="28"/>
      <c r="K45" s="28"/>
      <c r="L45" s="28"/>
      <c r="M45" s="28"/>
      <c r="N45" s="28"/>
      <c r="O45" s="28"/>
      <c r="P45" s="28"/>
      <c r="Q45" s="147"/>
      <c r="R45" s="641">
        <f>$R$34</f>
        <v>1320</v>
      </c>
      <c r="S45" s="641"/>
      <c r="T45" s="28" t="s">
        <v>53</v>
      </c>
      <c r="U45" s="28"/>
      <c r="V45" s="29"/>
      <c r="W45" s="29"/>
      <c r="X45" s="29"/>
      <c r="Y45" s="29"/>
      <c r="Z45" s="29"/>
      <c r="AA45" s="29"/>
      <c r="AB45" s="28">
        <v>1</v>
      </c>
      <c r="AC45" s="251" t="s">
        <v>51</v>
      </c>
      <c r="AD45" s="28"/>
      <c r="AE45" s="28"/>
      <c r="AF45" s="28"/>
      <c r="AG45" s="28"/>
      <c r="AH45" s="640">
        <f>IF($AH$22+$AH$23=0,0,R45*AB45)</f>
        <v>1320</v>
      </c>
      <c r="AI45" s="641"/>
      <c r="AJ45" s="641"/>
      <c r="AK45" s="642"/>
      <c r="AL45" s="617" t="s">
        <v>52</v>
      </c>
      <c r="AM45" s="618"/>
      <c r="AN45" s="594">
        <f>AN34</f>
        <v>6</v>
      </c>
      <c r="AO45" s="595"/>
      <c r="AP45" s="613" t="s">
        <v>45</v>
      </c>
      <c r="AQ45" s="614"/>
      <c r="AR45" s="625">
        <f>AN45*X47/1000</f>
        <v>0.17709176470588234</v>
      </c>
      <c r="AS45" s="626"/>
      <c r="AT45" s="626"/>
      <c r="AU45" s="552" t="s">
        <v>42</v>
      </c>
      <c r="AV45" s="553"/>
      <c r="AW45" s="7"/>
      <c r="AX45" s="7"/>
    </row>
    <row r="46" spans="2:50" ht="13.5" customHeight="1">
      <c r="B46" s="689"/>
      <c r="C46" s="692"/>
      <c r="D46" s="693"/>
      <c r="E46" s="545"/>
      <c r="F46" s="546"/>
      <c r="G46" s="546"/>
      <c r="H46" s="547"/>
      <c r="I46" s="170" t="s">
        <v>47</v>
      </c>
      <c r="J46" s="23"/>
      <c r="K46" s="23"/>
      <c r="L46" s="23"/>
      <c r="M46" s="23"/>
      <c r="N46" s="23"/>
      <c r="O46" s="23"/>
      <c r="P46" s="23"/>
      <c r="Q46" s="171"/>
      <c r="R46" s="706">
        <f>$R$35</f>
        <v>440</v>
      </c>
      <c r="S46" s="707"/>
      <c r="T46" s="23" t="s">
        <v>48</v>
      </c>
      <c r="U46" s="23"/>
      <c r="V46" s="23"/>
      <c r="W46" s="23"/>
      <c r="X46" s="657">
        <f>IF('様式11-5'!U$1="LPG",L$22,0)</f>
        <v>29.515294117647056</v>
      </c>
      <c r="Y46" s="644"/>
      <c r="Z46" s="23" t="s">
        <v>46</v>
      </c>
      <c r="AA46" s="23"/>
      <c r="AB46" s="23"/>
      <c r="AC46" s="24"/>
      <c r="AD46" s="23"/>
      <c r="AE46" s="23"/>
      <c r="AF46" s="23"/>
      <c r="AG46" s="23"/>
      <c r="AH46" s="558">
        <f>R46*X46</f>
        <v>12986.729411764705</v>
      </c>
      <c r="AI46" s="559"/>
      <c r="AJ46" s="559"/>
      <c r="AK46" s="560"/>
      <c r="AL46" s="617"/>
      <c r="AM46" s="618"/>
      <c r="AN46" s="594"/>
      <c r="AO46" s="595"/>
      <c r="AP46" s="613"/>
      <c r="AQ46" s="614"/>
      <c r="AR46" s="625"/>
      <c r="AS46" s="626"/>
      <c r="AT46" s="626"/>
      <c r="AU46" s="552"/>
      <c r="AV46" s="553"/>
      <c r="AW46" s="7"/>
      <c r="AX46" s="7"/>
    </row>
    <row r="47" spans="2:50" ht="13.5" customHeight="1" thickBot="1">
      <c r="B47" s="689"/>
      <c r="C47" s="694"/>
      <c r="D47" s="695"/>
      <c r="E47" s="708" t="s">
        <v>44</v>
      </c>
      <c r="F47" s="709"/>
      <c r="G47" s="709"/>
      <c r="H47" s="710"/>
      <c r="I47" s="163"/>
      <c r="J47" s="25"/>
      <c r="K47" s="25"/>
      <c r="L47" s="25"/>
      <c r="M47" s="25"/>
      <c r="N47" s="25"/>
      <c r="O47" s="25"/>
      <c r="P47" s="25"/>
      <c r="Q47" s="164"/>
      <c r="R47" s="254"/>
      <c r="S47" s="254"/>
      <c r="T47" s="25"/>
      <c r="U47" s="25"/>
      <c r="V47" s="25"/>
      <c r="W47" s="165"/>
      <c r="X47" s="716">
        <f>SUM(X46:Y46)</f>
        <v>29.515294117647056</v>
      </c>
      <c r="Y47" s="716"/>
      <c r="Z47" s="25" t="s">
        <v>43</v>
      </c>
      <c r="AA47" s="25"/>
      <c r="AB47" s="25"/>
      <c r="AC47" s="26"/>
      <c r="AD47" s="25"/>
      <c r="AE47" s="25"/>
      <c r="AF47" s="25"/>
      <c r="AG47" s="25"/>
      <c r="AH47" s="712">
        <f>SUM(AH45:AK46)</f>
        <v>14306.729411764705</v>
      </c>
      <c r="AI47" s="713"/>
      <c r="AJ47" s="713"/>
      <c r="AK47" s="714"/>
      <c r="AL47" s="619"/>
      <c r="AM47" s="620"/>
      <c r="AN47" s="621"/>
      <c r="AO47" s="622"/>
      <c r="AP47" s="623"/>
      <c r="AQ47" s="624"/>
      <c r="AR47" s="627"/>
      <c r="AS47" s="628"/>
      <c r="AT47" s="628"/>
      <c r="AU47" s="554"/>
      <c r="AV47" s="555"/>
      <c r="AW47" s="7"/>
      <c r="AX47" s="7"/>
    </row>
    <row r="48" spans="2:50" ht="13.5" customHeight="1">
      <c r="B48" s="696" t="s">
        <v>80</v>
      </c>
      <c r="C48" s="697"/>
      <c r="D48" s="697"/>
      <c r="E48" s="698" t="s">
        <v>2</v>
      </c>
      <c r="F48" s="697"/>
      <c r="G48" s="697"/>
      <c r="H48" s="699"/>
      <c r="I48" s="698" t="s">
        <v>79</v>
      </c>
      <c r="J48" s="697"/>
      <c r="K48" s="697"/>
      <c r="L48" s="697"/>
      <c r="M48" s="697"/>
      <c r="N48" s="697"/>
      <c r="O48" s="697"/>
      <c r="P48" s="697"/>
      <c r="Q48" s="699"/>
      <c r="R48" s="698" t="s">
        <v>78</v>
      </c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9"/>
      <c r="AH48" s="698" t="s">
        <v>77</v>
      </c>
      <c r="AI48" s="697"/>
      <c r="AJ48" s="697"/>
      <c r="AK48" s="700"/>
      <c r="AL48" s="605" t="s">
        <v>2</v>
      </c>
      <c r="AM48" s="606"/>
      <c r="AN48" s="680" t="s">
        <v>76</v>
      </c>
      <c r="AO48" s="681"/>
      <c r="AP48" s="681"/>
      <c r="AQ48" s="682"/>
      <c r="AR48" s="680" t="s">
        <v>75</v>
      </c>
      <c r="AS48" s="681"/>
      <c r="AT48" s="681"/>
      <c r="AU48" s="681"/>
      <c r="AV48" s="683"/>
      <c r="AW48" s="7"/>
      <c r="AX48" s="7"/>
    </row>
    <row r="49" spans="2:50" ht="13.5" customHeight="1">
      <c r="B49" s="688" t="s">
        <v>121</v>
      </c>
      <c r="C49" s="690" t="s">
        <v>74</v>
      </c>
      <c r="D49" s="691"/>
      <c r="E49" s="542" t="s">
        <v>73</v>
      </c>
      <c r="F49" s="543"/>
      <c r="G49" s="543"/>
      <c r="H49" s="544"/>
      <c r="I49" s="146" t="s">
        <v>54</v>
      </c>
      <c r="J49" s="28"/>
      <c r="K49" s="28"/>
      <c r="L49" s="28"/>
      <c r="M49" s="28"/>
      <c r="N49" s="28"/>
      <c r="O49" s="28"/>
      <c r="P49" s="28"/>
      <c r="Q49" s="147"/>
      <c r="R49" s="548">
        <f>IF($AJ$16+$AJ$18+$AJ$20=0,0,料金単価!$C$3)</f>
        <v>1285.8699999999999</v>
      </c>
      <c r="S49" s="548"/>
      <c r="T49" s="28" t="s">
        <v>71</v>
      </c>
      <c r="U49" s="28"/>
      <c r="V49" s="28"/>
      <c r="W49" s="549">
        <f>$W$27</f>
        <v>3.2329411764705891</v>
      </c>
      <c r="X49" s="549"/>
      <c r="Y49" s="28" t="s">
        <v>70</v>
      </c>
      <c r="Z49" s="28"/>
      <c r="AA49" s="28">
        <v>1</v>
      </c>
      <c r="AB49" s="28" t="s">
        <v>69</v>
      </c>
      <c r="AC49" s="28"/>
      <c r="AD49" s="36">
        <v>0.85</v>
      </c>
      <c r="AE49" s="28" t="s">
        <v>68</v>
      </c>
      <c r="AF49" s="28"/>
      <c r="AG49" s="28"/>
      <c r="AH49" s="640">
        <f>R49*W49*AA49*AD49</f>
        <v>3533.570760000001</v>
      </c>
      <c r="AI49" s="641"/>
      <c r="AJ49" s="641"/>
      <c r="AK49" s="642"/>
      <c r="AL49" s="633" t="s">
        <v>0</v>
      </c>
      <c r="AM49" s="634"/>
      <c r="AN49" s="659">
        <f>AN38</f>
        <v>0.44900000000000001</v>
      </c>
      <c r="AO49" s="660"/>
      <c r="AP49" s="661" t="s">
        <v>72</v>
      </c>
      <c r="AQ49" s="662"/>
      <c r="AR49" s="663">
        <f>AN49*AB52/1000</f>
        <v>2.3580423529411771E-2</v>
      </c>
      <c r="AS49" s="664"/>
      <c r="AT49" s="664"/>
      <c r="AU49" s="661" t="s">
        <v>42</v>
      </c>
      <c r="AV49" s="674"/>
      <c r="AW49" s="7"/>
      <c r="AX49" s="7"/>
    </row>
    <row r="50" spans="2:50" ht="13.5" customHeight="1">
      <c r="B50" s="689"/>
      <c r="C50" s="692"/>
      <c r="D50" s="693"/>
      <c r="E50" s="545"/>
      <c r="F50" s="546"/>
      <c r="G50" s="546"/>
      <c r="H50" s="547"/>
      <c r="I50" s="677" t="s">
        <v>47</v>
      </c>
      <c r="J50" s="618"/>
      <c r="K50" s="678"/>
      <c r="L50" s="679" t="s">
        <v>67</v>
      </c>
      <c r="M50" s="618"/>
      <c r="N50" s="618"/>
      <c r="O50" s="678"/>
      <c r="P50" s="643" t="s">
        <v>66</v>
      </c>
      <c r="Q50" s="646"/>
      <c r="R50" s="34" t="s">
        <v>157</v>
      </c>
      <c r="S50" s="33">
        <f>IF(P50="夏季",料金単価!$D$3,料金単価!$E$3)</f>
        <v>13.49</v>
      </c>
      <c r="T50" s="148" t="s">
        <v>62</v>
      </c>
      <c r="U50" s="149">
        <f>$U$28</f>
        <v>7.29</v>
      </c>
      <c r="V50" s="148" t="s">
        <v>62</v>
      </c>
      <c r="W50" s="150">
        <f>$W$28</f>
        <v>3.45</v>
      </c>
      <c r="X50" s="151" t="s">
        <v>64</v>
      </c>
      <c r="Y50" s="24" t="s">
        <v>61</v>
      </c>
      <c r="Z50" s="151"/>
      <c r="AA50" s="32"/>
      <c r="AB50" s="702">
        <f>N$16+N$18+N$20</f>
        <v>52.517647058823542</v>
      </c>
      <c r="AC50" s="702"/>
      <c r="AD50" s="24" t="s">
        <v>63</v>
      </c>
      <c r="AE50" s="24"/>
      <c r="AF50" s="24"/>
      <c r="AG50" s="152"/>
      <c r="AH50" s="648">
        <f>(S50+U50+W50)*AB50</f>
        <v>1272.5025882352945</v>
      </c>
      <c r="AI50" s="649"/>
      <c r="AJ50" s="649"/>
      <c r="AK50" s="650"/>
      <c r="AL50" s="617"/>
      <c r="AM50" s="618"/>
      <c r="AN50" s="594"/>
      <c r="AO50" s="595"/>
      <c r="AP50" s="613"/>
      <c r="AQ50" s="614"/>
      <c r="AR50" s="625"/>
      <c r="AS50" s="626"/>
      <c r="AT50" s="626"/>
      <c r="AU50" s="613"/>
      <c r="AV50" s="675"/>
      <c r="AW50" s="7"/>
      <c r="AX50" s="7"/>
    </row>
    <row r="51" spans="2:50" ht="13.5" customHeight="1">
      <c r="B51" s="689"/>
      <c r="C51" s="692"/>
      <c r="D51" s="693"/>
      <c r="E51" s="545"/>
      <c r="F51" s="546"/>
      <c r="G51" s="546"/>
      <c r="H51" s="547"/>
      <c r="I51" s="255"/>
      <c r="J51" s="252"/>
      <c r="K51" s="252"/>
      <c r="L51" s="259"/>
      <c r="M51" s="259"/>
      <c r="N51" s="259"/>
      <c r="O51" s="259"/>
      <c r="P51" s="259"/>
      <c r="Q51" s="256"/>
      <c r="R51" s="31"/>
      <c r="S51" s="157" t="s">
        <v>60</v>
      </c>
      <c r="T51" s="175"/>
      <c r="U51" s="176" t="s">
        <v>59</v>
      </c>
      <c r="V51" s="175"/>
      <c r="W51" s="160" t="s">
        <v>58</v>
      </c>
      <c r="Y51" s="30"/>
      <c r="AA51" s="10"/>
      <c r="AB51" s="52"/>
      <c r="AC51" s="52"/>
      <c r="AD51" s="30"/>
      <c r="AE51" s="30"/>
      <c r="AF51" s="30"/>
      <c r="AG51" s="253"/>
      <c r="AH51" s="703"/>
      <c r="AI51" s="704"/>
      <c r="AJ51" s="704"/>
      <c r="AK51" s="705"/>
      <c r="AL51" s="617"/>
      <c r="AM51" s="618"/>
      <c r="AN51" s="594"/>
      <c r="AO51" s="595"/>
      <c r="AP51" s="613"/>
      <c r="AQ51" s="614"/>
      <c r="AR51" s="625"/>
      <c r="AS51" s="626"/>
      <c r="AT51" s="626"/>
      <c r="AU51" s="613"/>
      <c r="AV51" s="675"/>
      <c r="AW51" s="7"/>
      <c r="AX51" s="7"/>
    </row>
    <row r="52" spans="2:50" ht="13.5" customHeight="1">
      <c r="B52" s="689"/>
      <c r="C52" s="694"/>
      <c r="D52" s="695"/>
      <c r="E52" s="708" t="s">
        <v>44</v>
      </c>
      <c r="F52" s="709"/>
      <c r="G52" s="709"/>
      <c r="H52" s="710"/>
      <c r="I52" s="163"/>
      <c r="J52" s="25"/>
      <c r="K52" s="25"/>
      <c r="L52" s="25"/>
      <c r="M52" s="25"/>
      <c r="N52" s="25"/>
      <c r="O52" s="25"/>
      <c r="P52" s="25"/>
      <c r="Q52" s="164"/>
      <c r="R52" s="254"/>
      <c r="S52" s="254"/>
      <c r="T52" s="25"/>
      <c r="U52" s="25"/>
      <c r="V52" s="25"/>
      <c r="W52" s="165"/>
      <c r="X52" s="260"/>
      <c r="Y52" s="260"/>
      <c r="Z52" s="167"/>
      <c r="AA52" s="168"/>
      <c r="AB52" s="711">
        <f>SUM(AB50:AC50)</f>
        <v>52.517647058823542</v>
      </c>
      <c r="AC52" s="711"/>
      <c r="AD52" s="169" t="s">
        <v>57</v>
      </c>
      <c r="AE52" s="25"/>
      <c r="AF52" s="25"/>
      <c r="AG52" s="25"/>
      <c r="AH52" s="712">
        <f>SUM(AH49:AK50)</f>
        <v>4806.0733482352953</v>
      </c>
      <c r="AI52" s="713"/>
      <c r="AJ52" s="713"/>
      <c r="AK52" s="714"/>
      <c r="AL52" s="617"/>
      <c r="AM52" s="618"/>
      <c r="AN52" s="594"/>
      <c r="AO52" s="595"/>
      <c r="AP52" s="613"/>
      <c r="AQ52" s="614"/>
      <c r="AR52" s="625"/>
      <c r="AS52" s="626"/>
      <c r="AT52" s="626"/>
      <c r="AU52" s="613"/>
      <c r="AV52" s="675"/>
      <c r="AW52" s="7"/>
      <c r="AX52" s="7"/>
    </row>
    <row r="53" spans="2:50" ht="13.5" customHeight="1">
      <c r="B53" s="689"/>
      <c r="C53" s="690" t="s">
        <v>56</v>
      </c>
      <c r="D53" s="691"/>
      <c r="E53" s="638" t="s">
        <v>55</v>
      </c>
      <c r="F53" s="543"/>
      <c r="G53" s="543"/>
      <c r="H53" s="544"/>
      <c r="I53" s="146" t="s">
        <v>54</v>
      </c>
      <c r="J53" s="28"/>
      <c r="K53" s="28"/>
      <c r="L53" s="28"/>
      <c r="M53" s="28"/>
      <c r="N53" s="28"/>
      <c r="O53" s="28"/>
      <c r="P53" s="28"/>
      <c r="Q53" s="147"/>
      <c r="R53" s="37" t="s">
        <v>111</v>
      </c>
      <c r="S53" s="639">
        <f>IF('様式11-5'!U$1="LPG",0,IF(N$22&lt;50,料金単価!$C$7,(IF(N$22&lt;100,料金単価!$C$8,IF($N$22&lt;250,料金単価!$C$9,IF($N$22&lt;500,料金単価!$C$10,IF($N$22&lt;800,料金単価!$C$11,料金単価!$C$12)))))))</f>
        <v>0</v>
      </c>
      <c r="T53" s="639"/>
      <c r="U53" s="28" t="s">
        <v>53</v>
      </c>
      <c r="V53" s="54"/>
      <c r="W53" s="29"/>
      <c r="X53" s="29"/>
      <c r="Y53" s="29"/>
      <c r="Z53" s="29"/>
      <c r="AA53" s="29"/>
      <c r="AB53" s="28">
        <v>1</v>
      </c>
      <c r="AC53" s="251" t="s">
        <v>51</v>
      </c>
      <c r="AD53" s="28"/>
      <c r="AE53" s="28"/>
      <c r="AF53" s="28"/>
      <c r="AG53" s="28"/>
      <c r="AH53" s="640">
        <f>IF($AH$22+$AH$23=0,0,S53*AB53)</f>
        <v>0</v>
      </c>
      <c r="AI53" s="641"/>
      <c r="AJ53" s="641"/>
      <c r="AK53" s="642"/>
      <c r="AL53" s="658" t="s">
        <v>55</v>
      </c>
      <c r="AM53" s="634"/>
      <c r="AN53" s="659">
        <f>AN42</f>
        <v>2.29</v>
      </c>
      <c r="AO53" s="660"/>
      <c r="AP53" s="661" t="s">
        <v>45</v>
      </c>
      <c r="AQ53" s="662"/>
      <c r="AR53" s="663">
        <f>AN53*Z55/1000</f>
        <v>0</v>
      </c>
      <c r="AS53" s="664"/>
      <c r="AT53" s="664"/>
      <c r="AU53" s="550" t="s">
        <v>42</v>
      </c>
      <c r="AV53" s="551"/>
      <c r="AW53" s="7"/>
      <c r="AX53" s="7"/>
    </row>
    <row r="54" spans="2:50" ht="13.5" customHeight="1">
      <c r="B54" s="689"/>
      <c r="C54" s="692"/>
      <c r="D54" s="693"/>
      <c r="E54" s="545"/>
      <c r="F54" s="546"/>
      <c r="G54" s="546"/>
      <c r="H54" s="547"/>
      <c r="I54" s="170" t="s">
        <v>47</v>
      </c>
      <c r="J54" s="23"/>
      <c r="K54" s="23"/>
      <c r="L54" s="23"/>
      <c r="M54" s="23"/>
      <c r="N54" s="23"/>
      <c r="O54" s="23"/>
      <c r="P54" s="23" t="s">
        <v>50</v>
      </c>
      <c r="Q54" s="171"/>
      <c r="R54" s="34" t="s">
        <v>111</v>
      </c>
      <c r="S54" s="556">
        <f>IF(P54="冬季",IF(N$22&lt;50,料金単価!$D$7,IF(N$22&lt;100,料金単価!$D$8,IF($N$22&lt;250,料金単価!$D$9,IF($N$22&lt;500,料金単価!$D$10,IF($N$22&lt;800,料金単価!$D$11,料金単価!$D$12))))),IF(N$22&lt;50,料金単価!$E$7,IF(N$22&lt;100,料金単価!$E$8,IF(N$22&lt;250,料金単価!$E$9,IF(N$22&lt;500,料金単価!$E$10,IF(N$22&lt;800,料金単価!$E$11,料金単価!$E$12))))))</f>
        <v>132.49</v>
      </c>
      <c r="T54" s="556"/>
      <c r="U54" s="23" t="s">
        <v>48</v>
      </c>
      <c r="V54" s="172" t="s">
        <v>110</v>
      </c>
      <c r="W54" s="173">
        <f>W43</f>
        <v>14.55</v>
      </c>
      <c r="X54" s="258" t="s">
        <v>112</v>
      </c>
      <c r="Y54" s="259" t="s">
        <v>113</v>
      </c>
      <c r="Z54" s="665">
        <f>IF('様式11-5'!U$1="LPG",0,N$22)</f>
        <v>0</v>
      </c>
      <c r="AA54" s="665"/>
      <c r="AB54" s="23" t="s">
        <v>46</v>
      </c>
      <c r="AC54" s="23"/>
      <c r="AD54" s="23"/>
      <c r="AE54" s="23"/>
      <c r="AF54" s="23"/>
      <c r="AG54" s="23"/>
      <c r="AH54" s="558">
        <f>(S54+W54)*Z54</f>
        <v>0</v>
      </c>
      <c r="AI54" s="559"/>
      <c r="AJ54" s="559"/>
      <c r="AK54" s="560"/>
      <c r="AL54" s="617"/>
      <c r="AM54" s="618"/>
      <c r="AN54" s="594"/>
      <c r="AO54" s="595"/>
      <c r="AP54" s="613"/>
      <c r="AQ54" s="614"/>
      <c r="AR54" s="625"/>
      <c r="AS54" s="626"/>
      <c r="AT54" s="626"/>
      <c r="AU54" s="552"/>
      <c r="AV54" s="553"/>
      <c r="AW54" s="7"/>
      <c r="AX54" s="7"/>
    </row>
    <row r="55" spans="2:50" ht="13.5" customHeight="1">
      <c r="B55" s="689"/>
      <c r="C55" s="692"/>
      <c r="D55" s="693"/>
      <c r="E55" s="708" t="s">
        <v>44</v>
      </c>
      <c r="F55" s="709"/>
      <c r="G55" s="709"/>
      <c r="H55" s="710"/>
      <c r="I55" s="163"/>
      <c r="J55" s="25"/>
      <c r="K55" s="25"/>
      <c r="L55" s="25"/>
      <c r="M55" s="25"/>
      <c r="N55" s="25"/>
      <c r="O55" s="25"/>
      <c r="P55" s="25"/>
      <c r="Q55" s="164"/>
      <c r="R55" s="254"/>
      <c r="S55" s="254"/>
      <c r="T55" s="25"/>
      <c r="U55" s="25"/>
      <c r="V55" s="25"/>
      <c r="W55" s="165"/>
      <c r="X55" s="260"/>
      <c r="Y55" s="260"/>
      <c r="Z55" s="715">
        <f>SUM(Z54:Z54)</f>
        <v>0</v>
      </c>
      <c r="AA55" s="715"/>
      <c r="AB55" s="167" t="s">
        <v>43</v>
      </c>
      <c r="AC55" s="167"/>
      <c r="AD55" s="25"/>
      <c r="AE55" s="25"/>
      <c r="AF55" s="25"/>
      <c r="AG55" s="25"/>
      <c r="AH55" s="712">
        <f>SUM(AH53:AK54)</f>
        <v>0</v>
      </c>
      <c r="AI55" s="713"/>
      <c r="AJ55" s="713"/>
      <c r="AK55" s="714"/>
      <c r="AL55" s="619"/>
      <c r="AM55" s="620"/>
      <c r="AN55" s="621"/>
      <c r="AO55" s="622"/>
      <c r="AP55" s="623"/>
      <c r="AQ55" s="624"/>
      <c r="AR55" s="627"/>
      <c r="AS55" s="628"/>
      <c r="AT55" s="628"/>
      <c r="AU55" s="554"/>
      <c r="AV55" s="555"/>
      <c r="AW55" s="7"/>
      <c r="AX55" s="7"/>
    </row>
    <row r="56" spans="2:50" ht="13.5" customHeight="1">
      <c r="B56" s="689"/>
      <c r="C56" s="692"/>
      <c r="D56" s="693"/>
      <c r="E56" s="638" t="s">
        <v>52</v>
      </c>
      <c r="F56" s="543"/>
      <c r="G56" s="543"/>
      <c r="H56" s="544"/>
      <c r="I56" s="146" t="s">
        <v>54</v>
      </c>
      <c r="J56" s="28"/>
      <c r="K56" s="28"/>
      <c r="L56" s="28"/>
      <c r="M56" s="28"/>
      <c r="N56" s="28"/>
      <c r="O56" s="28"/>
      <c r="P56" s="28"/>
      <c r="Q56" s="147"/>
      <c r="R56" s="641">
        <f>$R$34</f>
        <v>1320</v>
      </c>
      <c r="S56" s="641"/>
      <c r="T56" s="28" t="s">
        <v>53</v>
      </c>
      <c r="U56" s="28"/>
      <c r="V56" s="29"/>
      <c r="W56" s="29"/>
      <c r="X56" s="29"/>
      <c r="Y56" s="29"/>
      <c r="Z56" s="29"/>
      <c r="AA56" s="29"/>
      <c r="AB56" s="28">
        <v>1</v>
      </c>
      <c r="AC56" s="251" t="s">
        <v>51</v>
      </c>
      <c r="AD56" s="28"/>
      <c r="AE56" s="28"/>
      <c r="AF56" s="28"/>
      <c r="AG56" s="28"/>
      <c r="AH56" s="640">
        <f>IF($AH$22+$AH$23=0,0,R56*AB56)</f>
        <v>1320</v>
      </c>
      <c r="AI56" s="641"/>
      <c r="AJ56" s="641"/>
      <c r="AK56" s="642"/>
      <c r="AL56" s="617" t="s">
        <v>52</v>
      </c>
      <c r="AM56" s="618"/>
      <c r="AN56" s="594">
        <f>AN45</f>
        <v>6</v>
      </c>
      <c r="AO56" s="595"/>
      <c r="AP56" s="613" t="s">
        <v>45</v>
      </c>
      <c r="AQ56" s="614"/>
      <c r="AR56" s="625">
        <f>AN56*X58/1000</f>
        <v>0</v>
      </c>
      <c r="AS56" s="626"/>
      <c r="AT56" s="626"/>
      <c r="AU56" s="552" t="s">
        <v>42</v>
      </c>
      <c r="AV56" s="553"/>
      <c r="AW56" s="7"/>
      <c r="AX56" s="7"/>
    </row>
    <row r="57" spans="2:50" ht="13.5" customHeight="1">
      <c r="B57" s="689"/>
      <c r="C57" s="692"/>
      <c r="D57" s="693"/>
      <c r="E57" s="545"/>
      <c r="F57" s="546"/>
      <c r="G57" s="546"/>
      <c r="H57" s="547"/>
      <c r="I57" s="170" t="s">
        <v>47</v>
      </c>
      <c r="J57" s="23"/>
      <c r="K57" s="23"/>
      <c r="L57" s="23"/>
      <c r="M57" s="23"/>
      <c r="N57" s="23"/>
      <c r="O57" s="23"/>
      <c r="P57" s="23"/>
      <c r="Q57" s="171"/>
      <c r="R57" s="706">
        <f>$R$35</f>
        <v>440</v>
      </c>
      <c r="S57" s="707"/>
      <c r="T57" s="23" t="s">
        <v>48</v>
      </c>
      <c r="U57" s="23"/>
      <c r="V57" s="23"/>
      <c r="W57" s="23"/>
      <c r="X57" s="657">
        <f>IF('様式11-5'!U$1="LPG",N$22,0)</f>
        <v>0</v>
      </c>
      <c r="Y57" s="644"/>
      <c r="Z57" s="23" t="s">
        <v>46</v>
      </c>
      <c r="AA57" s="23"/>
      <c r="AB57" s="23"/>
      <c r="AC57" s="24"/>
      <c r="AD57" s="23"/>
      <c r="AE57" s="23"/>
      <c r="AF57" s="23"/>
      <c r="AG57" s="23"/>
      <c r="AH57" s="558">
        <f>R57*X57</f>
        <v>0</v>
      </c>
      <c r="AI57" s="559"/>
      <c r="AJ57" s="559"/>
      <c r="AK57" s="560"/>
      <c r="AL57" s="617"/>
      <c r="AM57" s="618"/>
      <c r="AN57" s="594"/>
      <c r="AO57" s="595"/>
      <c r="AP57" s="613"/>
      <c r="AQ57" s="614"/>
      <c r="AR57" s="625"/>
      <c r="AS57" s="626"/>
      <c r="AT57" s="626"/>
      <c r="AU57" s="552"/>
      <c r="AV57" s="553"/>
      <c r="AW57" s="7"/>
      <c r="AX57" s="7"/>
    </row>
    <row r="58" spans="2:50" ht="13.5" customHeight="1" thickBot="1">
      <c r="B58" s="689"/>
      <c r="C58" s="694"/>
      <c r="D58" s="695"/>
      <c r="E58" s="708" t="s">
        <v>44</v>
      </c>
      <c r="F58" s="709"/>
      <c r="G58" s="709"/>
      <c r="H58" s="710"/>
      <c r="I58" s="163"/>
      <c r="J58" s="25"/>
      <c r="K58" s="25"/>
      <c r="L58" s="25"/>
      <c r="M58" s="25"/>
      <c r="N58" s="25"/>
      <c r="O58" s="25"/>
      <c r="P58" s="25"/>
      <c r="Q58" s="164"/>
      <c r="R58" s="254"/>
      <c r="S58" s="254"/>
      <c r="T58" s="25"/>
      <c r="U58" s="25"/>
      <c r="V58" s="25"/>
      <c r="W58" s="165"/>
      <c r="X58" s="716">
        <f>SUM(X57:Y57)</f>
        <v>0</v>
      </c>
      <c r="Y58" s="716"/>
      <c r="Z58" s="25" t="s">
        <v>43</v>
      </c>
      <c r="AA58" s="25"/>
      <c r="AB58" s="25"/>
      <c r="AC58" s="26"/>
      <c r="AD58" s="25"/>
      <c r="AE58" s="25"/>
      <c r="AF58" s="25"/>
      <c r="AG58" s="25"/>
      <c r="AH58" s="712">
        <f>SUM(AH56:AK57)</f>
        <v>1320</v>
      </c>
      <c r="AI58" s="713"/>
      <c r="AJ58" s="713"/>
      <c r="AK58" s="714"/>
      <c r="AL58" s="619"/>
      <c r="AM58" s="620"/>
      <c r="AN58" s="621"/>
      <c r="AO58" s="622"/>
      <c r="AP58" s="623"/>
      <c r="AQ58" s="624"/>
      <c r="AR58" s="627"/>
      <c r="AS58" s="628"/>
      <c r="AT58" s="628"/>
      <c r="AU58" s="554"/>
      <c r="AV58" s="555"/>
      <c r="AW58" s="7"/>
      <c r="AX58" s="7"/>
    </row>
    <row r="59" spans="2:50" ht="13.5" customHeight="1">
      <c r="B59" s="696" t="s">
        <v>80</v>
      </c>
      <c r="C59" s="697"/>
      <c r="D59" s="697"/>
      <c r="E59" s="698" t="s">
        <v>2</v>
      </c>
      <c r="F59" s="697"/>
      <c r="G59" s="697"/>
      <c r="H59" s="699"/>
      <c r="I59" s="698" t="s">
        <v>79</v>
      </c>
      <c r="J59" s="697"/>
      <c r="K59" s="697"/>
      <c r="L59" s="697"/>
      <c r="M59" s="697"/>
      <c r="N59" s="697"/>
      <c r="O59" s="697"/>
      <c r="P59" s="697"/>
      <c r="Q59" s="699"/>
      <c r="R59" s="698" t="s">
        <v>78</v>
      </c>
      <c r="S59" s="697"/>
      <c r="T59" s="697"/>
      <c r="U59" s="697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9"/>
      <c r="AH59" s="698" t="s">
        <v>77</v>
      </c>
      <c r="AI59" s="697"/>
      <c r="AJ59" s="697"/>
      <c r="AK59" s="700"/>
      <c r="AL59" s="605" t="s">
        <v>2</v>
      </c>
      <c r="AM59" s="606"/>
      <c r="AN59" s="680" t="s">
        <v>76</v>
      </c>
      <c r="AO59" s="681"/>
      <c r="AP59" s="681"/>
      <c r="AQ59" s="682"/>
      <c r="AR59" s="680" t="s">
        <v>75</v>
      </c>
      <c r="AS59" s="681"/>
      <c r="AT59" s="681"/>
      <c r="AU59" s="681"/>
      <c r="AV59" s="683"/>
      <c r="AW59" s="7"/>
      <c r="AX59" s="7"/>
    </row>
    <row r="60" spans="2:50" ht="13.5" customHeight="1">
      <c r="B60" s="688" t="s">
        <v>122</v>
      </c>
      <c r="C60" s="690" t="s">
        <v>74</v>
      </c>
      <c r="D60" s="691"/>
      <c r="E60" s="542" t="s">
        <v>73</v>
      </c>
      <c r="F60" s="543"/>
      <c r="G60" s="543"/>
      <c r="H60" s="544"/>
      <c r="I60" s="146" t="s">
        <v>54</v>
      </c>
      <c r="J60" s="28"/>
      <c r="K60" s="28"/>
      <c r="L60" s="28"/>
      <c r="M60" s="28"/>
      <c r="N60" s="28"/>
      <c r="O60" s="28"/>
      <c r="P60" s="28"/>
      <c r="Q60" s="147"/>
      <c r="R60" s="548">
        <f>IF($AJ$16+$AJ$18+$AJ$20=0,0,料金単価!$C$3)</f>
        <v>1285.8699999999999</v>
      </c>
      <c r="S60" s="548"/>
      <c r="T60" s="28" t="s">
        <v>71</v>
      </c>
      <c r="U60" s="28"/>
      <c r="V60" s="28"/>
      <c r="W60" s="549">
        <f>$W$27</f>
        <v>3.2329411764705891</v>
      </c>
      <c r="X60" s="549"/>
      <c r="Y60" s="28" t="s">
        <v>70</v>
      </c>
      <c r="Z60" s="28"/>
      <c r="AA60" s="28">
        <v>1</v>
      </c>
      <c r="AB60" s="28" t="s">
        <v>69</v>
      </c>
      <c r="AC60" s="28"/>
      <c r="AD60" s="36">
        <v>0.85</v>
      </c>
      <c r="AE60" s="28" t="s">
        <v>68</v>
      </c>
      <c r="AF60" s="28"/>
      <c r="AG60" s="28"/>
      <c r="AH60" s="640">
        <f>R60*W60*AA60*AD60</f>
        <v>3533.570760000001</v>
      </c>
      <c r="AI60" s="641"/>
      <c r="AJ60" s="641"/>
      <c r="AK60" s="642"/>
      <c r="AL60" s="633" t="s">
        <v>0</v>
      </c>
      <c r="AM60" s="634"/>
      <c r="AN60" s="659">
        <f>AN27</f>
        <v>0.44900000000000001</v>
      </c>
      <c r="AO60" s="660"/>
      <c r="AP60" s="661" t="s">
        <v>72</v>
      </c>
      <c r="AQ60" s="662"/>
      <c r="AR60" s="663">
        <f>AN60*AB63/1000</f>
        <v>8.663396894117649E-2</v>
      </c>
      <c r="AS60" s="664"/>
      <c r="AT60" s="664"/>
      <c r="AU60" s="661" t="s">
        <v>42</v>
      </c>
      <c r="AV60" s="674"/>
      <c r="AW60" s="7"/>
      <c r="AX60" s="7"/>
    </row>
    <row r="61" spans="2:50" ht="13.5" customHeight="1">
      <c r="B61" s="689"/>
      <c r="C61" s="692"/>
      <c r="D61" s="693"/>
      <c r="E61" s="545"/>
      <c r="F61" s="546"/>
      <c r="G61" s="546"/>
      <c r="H61" s="547"/>
      <c r="I61" s="677" t="s">
        <v>47</v>
      </c>
      <c r="J61" s="618"/>
      <c r="K61" s="678"/>
      <c r="L61" s="679" t="s">
        <v>67</v>
      </c>
      <c r="M61" s="618"/>
      <c r="N61" s="618"/>
      <c r="O61" s="678"/>
      <c r="P61" s="643" t="s">
        <v>66</v>
      </c>
      <c r="Q61" s="646"/>
      <c r="R61" s="34" t="s">
        <v>157</v>
      </c>
      <c r="S61" s="33">
        <f>IF(P61="夏季",料金単価!$D$3,料金単価!$E$3)</f>
        <v>13.49</v>
      </c>
      <c r="T61" s="148" t="s">
        <v>62</v>
      </c>
      <c r="U61" s="149">
        <f>$U$28</f>
        <v>7.29</v>
      </c>
      <c r="V61" s="148" t="s">
        <v>62</v>
      </c>
      <c r="W61" s="150">
        <f>$W$28</f>
        <v>3.45</v>
      </c>
      <c r="X61" s="151" t="s">
        <v>64</v>
      </c>
      <c r="Y61" s="24" t="s">
        <v>61</v>
      </c>
      <c r="Z61" s="151"/>
      <c r="AA61" s="32"/>
      <c r="AB61" s="702">
        <f>P$16+P$18+P$20</f>
        <v>192.94870588235298</v>
      </c>
      <c r="AC61" s="702"/>
      <c r="AD61" s="24" t="s">
        <v>63</v>
      </c>
      <c r="AE61" s="24"/>
      <c r="AF61" s="24"/>
      <c r="AG61" s="152"/>
      <c r="AH61" s="648">
        <f>(S61+U61+W61)*AB61</f>
        <v>4675.1471435294125</v>
      </c>
      <c r="AI61" s="649"/>
      <c r="AJ61" s="649"/>
      <c r="AK61" s="650"/>
      <c r="AL61" s="617"/>
      <c r="AM61" s="618"/>
      <c r="AN61" s="594"/>
      <c r="AO61" s="595"/>
      <c r="AP61" s="613"/>
      <c r="AQ61" s="614"/>
      <c r="AR61" s="625"/>
      <c r="AS61" s="626"/>
      <c r="AT61" s="626"/>
      <c r="AU61" s="613"/>
      <c r="AV61" s="675"/>
      <c r="AW61" s="7"/>
      <c r="AX61" s="7"/>
    </row>
    <row r="62" spans="2:50" ht="13.5" customHeight="1">
      <c r="B62" s="689"/>
      <c r="C62" s="692"/>
      <c r="D62" s="693"/>
      <c r="E62" s="545"/>
      <c r="F62" s="546"/>
      <c r="G62" s="546"/>
      <c r="H62" s="547"/>
      <c r="I62" s="255"/>
      <c r="J62" s="252"/>
      <c r="K62" s="252"/>
      <c r="L62" s="259"/>
      <c r="M62" s="259"/>
      <c r="N62" s="259"/>
      <c r="O62" s="259"/>
      <c r="P62" s="259"/>
      <c r="Q62" s="256"/>
      <c r="R62" s="31"/>
      <c r="S62" s="157" t="s">
        <v>60</v>
      </c>
      <c r="T62" s="175"/>
      <c r="U62" s="176" t="s">
        <v>59</v>
      </c>
      <c r="V62" s="175"/>
      <c r="W62" s="160" t="s">
        <v>58</v>
      </c>
      <c r="Y62" s="30"/>
      <c r="AA62" s="10"/>
      <c r="AB62" s="52"/>
      <c r="AC62" s="52"/>
      <c r="AD62" s="30"/>
      <c r="AE62" s="30"/>
      <c r="AF62" s="30"/>
      <c r="AG62" s="253"/>
      <c r="AH62" s="703"/>
      <c r="AI62" s="704"/>
      <c r="AJ62" s="704"/>
      <c r="AK62" s="705"/>
      <c r="AL62" s="617"/>
      <c r="AM62" s="618"/>
      <c r="AN62" s="594"/>
      <c r="AO62" s="595"/>
      <c r="AP62" s="613"/>
      <c r="AQ62" s="614"/>
      <c r="AR62" s="625"/>
      <c r="AS62" s="626"/>
      <c r="AT62" s="626"/>
      <c r="AU62" s="613"/>
      <c r="AV62" s="675"/>
      <c r="AW62" s="7"/>
      <c r="AX62" s="7"/>
    </row>
    <row r="63" spans="2:50" ht="13.5" customHeight="1">
      <c r="B63" s="689"/>
      <c r="C63" s="694"/>
      <c r="D63" s="695"/>
      <c r="E63" s="708" t="s">
        <v>44</v>
      </c>
      <c r="F63" s="709"/>
      <c r="G63" s="709"/>
      <c r="H63" s="710"/>
      <c r="I63" s="163"/>
      <c r="J63" s="25"/>
      <c r="K63" s="25"/>
      <c r="L63" s="25"/>
      <c r="M63" s="25"/>
      <c r="N63" s="25"/>
      <c r="O63" s="25"/>
      <c r="P63" s="25"/>
      <c r="Q63" s="164"/>
      <c r="R63" s="254"/>
      <c r="S63" s="254"/>
      <c r="T63" s="25"/>
      <c r="U63" s="25"/>
      <c r="V63" s="25"/>
      <c r="W63" s="165"/>
      <c r="X63" s="260"/>
      <c r="Y63" s="260"/>
      <c r="Z63" s="167"/>
      <c r="AA63" s="168"/>
      <c r="AB63" s="711">
        <f>SUM(AB61:AC61)</f>
        <v>192.94870588235298</v>
      </c>
      <c r="AC63" s="711"/>
      <c r="AD63" s="169" t="s">
        <v>57</v>
      </c>
      <c r="AE63" s="25"/>
      <c r="AF63" s="25"/>
      <c r="AG63" s="25"/>
      <c r="AH63" s="712">
        <f>SUM(AH60:AK61)</f>
        <v>8208.7179035294139</v>
      </c>
      <c r="AI63" s="713"/>
      <c r="AJ63" s="713"/>
      <c r="AK63" s="714"/>
      <c r="AL63" s="619"/>
      <c r="AM63" s="620"/>
      <c r="AN63" s="621"/>
      <c r="AO63" s="622"/>
      <c r="AP63" s="623"/>
      <c r="AQ63" s="624"/>
      <c r="AR63" s="627"/>
      <c r="AS63" s="628"/>
      <c r="AT63" s="628"/>
      <c r="AU63" s="623"/>
      <c r="AV63" s="717"/>
      <c r="AW63" s="7"/>
      <c r="AX63" s="7"/>
    </row>
    <row r="64" spans="2:50" ht="13.5" customHeight="1">
      <c r="B64" s="689"/>
      <c r="C64" s="690" t="s">
        <v>56</v>
      </c>
      <c r="D64" s="691"/>
      <c r="E64" s="638" t="s">
        <v>55</v>
      </c>
      <c r="F64" s="543"/>
      <c r="G64" s="543"/>
      <c r="H64" s="544"/>
      <c r="I64" s="146" t="s">
        <v>54</v>
      </c>
      <c r="J64" s="28"/>
      <c r="K64" s="28"/>
      <c r="L64" s="28"/>
      <c r="M64" s="28"/>
      <c r="N64" s="28"/>
      <c r="O64" s="28"/>
      <c r="P64" s="28"/>
      <c r="Q64" s="147"/>
      <c r="R64" s="37" t="s">
        <v>111</v>
      </c>
      <c r="S64" s="639">
        <f>IF('様式11-5'!U$1="LPG",0,IF(P$22&lt;50,料金単価!$C$7,(IF(P$22&lt;100,料金単価!$C$8,IF($P$22&lt;250,料金単価!$C$9,IF($P$22&lt;500,料金単価!$C$10,IF($P$22&lt;800,料金単価!$C$11,料金単価!$C$12)))))))</f>
        <v>0</v>
      </c>
      <c r="T64" s="639"/>
      <c r="U64" s="28" t="s">
        <v>53</v>
      </c>
      <c r="V64" s="54"/>
      <c r="W64" s="29"/>
      <c r="X64" s="29"/>
      <c r="Y64" s="29"/>
      <c r="Z64" s="29"/>
      <c r="AA64" s="29"/>
      <c r="AB64" s="28">
        <v>1</v>
      </c>
      <c r="AC64" s="251" t="s">
        <v>51</v>
      </c>
      <c r="AD64" s="28"/>
      <c r="AE64" s="28"/>
      <c r="AF64" s="28"/>
      <c r="AG64" s="28"/>
      <c r="AH64" s="640">
        <f>IF($AH$22+$AH$23=0,0,S64*AB64)</f>
        <v>0</v>
      </c>
      <c r="AI64" s="641"/>
      <c r="AJ64" s="641"/>
      <c r="AK64" s="642"/>
      <c r="AL64" s="718" t="s">
        <v>55</v>
      </c>
      <c r="AM64" s="618"/>
      <c r="AN64" s="594">
        <f>AN31</f>
        <v>2.29</v>
      </c>
      <c r="AO64" s="595"/>
      <c r="AP64" s="613" t="s">
        <v>45</v>
      </c>
      <c r="AQ64" s="614"/>
      <c r="AR64" s="625">
        <f>AN64*Z66/1000</f>
        <v>0</v>
      </c>
      <c r="AS64" s="626"/>
      <c r="AT64" s="626"/>
      <c r="AU64" s="552" t="s">
        <v>42</v>
      </c>
      <c r="AV64" s="553"/>
      <c r="AW64" s="7"/>
      <c r="AX64" s="7"/>
    </row>
    <row r="65" spans="2:50" ht="13.5" customHeight="1">
      <c r="B65" s="689"/>
      <c r="C65" s="692"/>
      <c r="D65" s="693"/>
      <c r="E65" s="545"/>
      <c r="F65" s="546"/>
      <c r="G65" s="546"/>
      <c r="H65" s="547"/>
      <c r="I65" s="170" t="s">
        <v>47</v>
      </c>
      <c r="J65" s="23"/>
      <c r="K65" s="23"/>
      <c r="L65" s="23"/>
      <c r="M65" s="23"/>
      <c r="N65" s="23"/>
      <c r="O65" s="23"/>
      <c r="P65" s="23" t="s">
        <v>50</v>
      </c>
      <c r="Q65" s="171"/>
      <c r="R65" s="34" t="s">
        <v>111</v>
      </c>
      <c r="S65" s="556">
        <f>IF(P65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65" s="556"/>
      <c r="U65" s="23" t="s">
        <v>48</v>
      </c>
      <c r="V65" s="172" t="s">
        <v>110</v>
      </c>
      <c r="W65" s="173">
        <f>W54</f>
        <v>14.55</v>
      </c>
      <c r="X65" s="258" t="s">
        <v>112</v>
      </c>
      <c r="Y65" s="259" t="s">
        <v>113</v>
      </c>
      <c r="Z65" s="719">
        <f>IF('様式11-5'!U$1="LPG",0,P$22)</f>
        <v>0</v>
      </c>
      <c r="AA65" s="719"/>
      <c r="AB65" s="23" t="s">
        <v>46</v>
      </c>
      <c r="AC65" s="23"/>
      <c r="AD65" s="23"/>
      <c r="AE65" s="23"/>
      <c r="AF65" s="23"/>
      <c r="AG65" s="23"/>
      <c r="AH65" s="558">
        <f>(S65+W65)*Z65</f>
        <v>0</v>
      </c>
      <c r="AI65" s="559"/>
      <c r="AJ65" s="559"/>
      <c r="AK65" s="560"/>
      <c r="AL65" s="617"/>
      <c r="AM65" s="618"/>
      <c r="AN65" s="594"/>
      <c r="AO65" s="595"/>
      <c r="AP65" s="613"/>
      <c r="AQ65" s="614"/>
      <c r="AR65" s="625"/>
      <c r="AS65" s="626"/>
      <c r="AT65" s="626"/>
      <c r="AU65" s="552"/>
      <c r="AV65" s="553"/>
      <c r="AW65" s="7"/>
      <c r="AX65" s="7"/>
    </row>
    <row r="66" spans="2:50" ht="13.5" customHeight="1">
      <c r="B66" s="689"/>
      <c r="C66" s="692"/>
      <c r="D66" s="693"/>
      <c r="E66" s="708" t="s">
        <v>44</v>
      </c>
      <c r="F66" s="709"/>
      <c r="G66" s="709"/>
      <c r="H66" s="710"/>
      <c r="I66" s="163"/>
      <c r="J66" s="25"/>
      <c r="K66" s="25"/>
      <c r="L66" s="25"/>
      <c r="M66" s="25"/>
      <c r="N66" s="25"/>
      <c r="O66" s="25"/>
      <c r="P66" s="25"/>
      <c r="Q66" s="164"/>
      <c r="R66" s="254"/>
      <c r="S66" s="254"/>
      <c r="T66" s="25"/>
      <c r="U66" s="25"/>
      <c r="V66" s="25"/>
      <c r="W66" s="165"/>
      <c r="X66" s="260"/>
      <c r="Y66" s="260"/>
      <c r="Z66" s="715">
        <f>SUM(Z65:Z65)</f>
        <v>0</v>
      </c>
      <c r="AA66" s="715"/>
      <c r="AB66" s="167" t="s">
        <v>43</v>
      </c>
      <c r="AC66" s="167"/>
      <c r="AD66" s="25"/>
      <c r="AE66" s="25"/>
      <c r="AF66" s="25"/>
      <c r="AG66" s="25"/>
      <c r="AH66" s="712">
        <f>SUM(AH64:AK65)</f>
        <v>0</v>
      </c>
      <c r="AI66" s="713"/>
      <c r="AJ66" s="713"/>
      <c r="AK66" s="714"/>
      <c r="AL66" s="619"/>
      <c r="AM66" s="620"/>
      <c r="AN66" s="621"/>
      <c r="AO66" s="622"/>
      <c r="AP66" s="623"/>
      <c r="AQ66" s="624"/>
      <c r="AR66" s="627"/>
      <c r="AS66" s="628"/>
      <c r="AT66" s="628"/>
      <c r="AU66" s="554"/>
      <c r="AV66" s="555"/>
      <c r="AW66" s="7"/>
      <c r="AX66" s="7"/>
    </row>
    <row r="67" spans="2:50" ht="13.5" customHeight="1">
      <c r="B67" s="689"/>
      <c r="C67" s="692"/>
      <c r="D67" s="693"/>
      <c r="E67" s="638" t="s">
        <v>52</v>
      </c>
      <c r="F67" s="543"/>
      <c r="G67" s="543"/>
      <c r="H67" s="544"/>
      <c r="I67" s="146" t="s">
        <v>54</v>
      </c>
      <c r="J67" s="28"/>
      <c r="K67" s="28"/>
      <c r="L67" s="28"/>
      <c r="M67" s="28"/>
      <c r="N67" s="28"/>
      <c r="O67" s="28"/>
      <c r="P67" s="28"/>
      <c r="Q67" s="147"/>
      <c r="R67" s="641">
        <f>$R$34</f>
        <v>1320</v>
      </c>
      <c r="S67" s="641"/>
      <c r="T67" s="28" t="s">
        <v>53</v>
      </c>
      <c r="U67" s="28"/>
      <c r="V67" s="29"/>
      <c r="W67" s="29"/>
      <c r="X67" s="29"/>
      <c r="Y67" s="29"/>
      <c r="Z67" s="29"/>
      <c r="AA67" s="29"/>
      <c r="AB67" s="28">
        <v>1</v>
      </c>
      <c r="AC67" s="251" t="s">
        <v>51</v>
      </c>
      <c r="AD67" s="28"/>
      <c r="AE67" s="28"/>
      <c r="AF67" s="28"/>
      <c r="AG67" s="28"/>
      <c r="AH67" s="640">
        <f>IF($AH$22+$AH$23=0,0,R67*AB67)</f>
        <v>1320</v>
      </c>
      <c r="AI67" s="641"/>
      <c r="AJ67" s="641"/>
      <c r="AK67" s="642"/>
      <c r="AL67" s="617" t="s">
        <v>52</v>
      </c>
      <c r="AM67" s="618"/>
      <c r="AN67" s="594">
        <f>AN34</f>
        <v>6</v>
      </c>
      <c r="AO67" s="595"/>
      <c r="AP67" s="613" t="s">
        <v>45</v>
      </c>
      <c r="AQ67" s="614"/>
      <c r="AR67" s="625">
        <f>AN67*X69/1000</f>
        <v>0.11745882352941177</v>
      </c>
      <c r="AS67" s="626"/>
      <c r="AT67" s="626"/>
      <c r="AU67" s="552" t="s">
        <v>42</v>
      </c>
      <c r="AV67" s="553"/>
      <c r="AW67" s="7"/>
      <c r="AX67" s="7"/>
    </row>
    <row r="68" spans="2:50" ht="13.5" customHeight="1">
      <c r="B68" s="689"/>
      <c r="C68" s="692"/>
      <c r="D68" s="693"/>
      <c r="E68" s="545"/>
      <c r="F68" s="546"/>
      <c r="G68" s="546"/>
      <c r="H68" s="547"/>
      <c r="I68" s="170" t="s">
        <v>47</v>
      </c>
      <c r="J68" s="23"/>
      <c r="K68" s="23"/>
      <c r="L68" s="23"/>
      <c r="M68" s="23"/>
      <c r="N68" s="23"/>
      <c r="O68" s="23"/>
      <c r="P68" s="23"/>
      <c r="Q68" s="171"/>
      <c r="R68" s="706">
        <f>$R$35</f>
        <v>440</v>
      </c>
      <c r="S68" s="707"/>
      <c r="T68" s="23" t="s">
        <v>48</v>
      </c>
      <c r="U68" s="23"/>
      <c r="V68" s="23"/>
      <c r="W68" s="23"/>
      <c r="X68" s="657">
        <f>IF('様式11-5'!U$1="LPG",P$22,0)</f>
        <v>19.576470588235296</v>
      </c>
      <c r="Y68" s="644"/>
      <c r="Z68" s="23" t="s">
        <v>46</v>
      </c>
      <c r="AA68" s="23"/>
      <c r="AB68" s="23"/>
      <c r="AC68" s="24"/>
      <c r="AD68" s="23"/>
      <c r="AE68" s="23"/>
      <c r="AF68" s="23"/>
      <c r="AG68" s="23"/>
      <c r="AH68" s="558">
        <f>R68*X68</f>
        <v>8613.6470588235297</v>
      </c>
      <c r="AI68" s="559"/>
      <c r="AJ68" s="559"/>
      <c r="AK68" s="560"/>
      <c r="AL68" s="617"/>
      <c r="AM68" s="618"/>
      <c r="AN68" s="594"/>
      <c r="AO68" s="595"/>
      <c r="AP68" s="613"/>
      <c r="AQ68" s="614"/>
      <c r="AR68" s="625"/>
      <c r="AS68" s="626"/>
      <c r="AT68" s="626"/>
      <c r="AU68" s="552"/>
      <c r="AV68" s="553"/>
      <c r="AW68" s="7"/>
      <c r="AX68" s="7"/>
    </row>
    <row r="69" spans="2:50" ht="13.5" customHeight="1" thickBot="1">
      <c r="B69" s="689"/>
      <c r="C69" s="694"/>
      <c r="D69" s="695"/>
      <c r="E69" s="708" t="s">
        <v>44</v>
      </c>
      <c r="F69" s="709"/>
      <c r="G69" s="709"/>
      <c r="H69" s="710"/>
      <c r="I69" s="163"/>
      <c r="J69" s="25"/>
      <c r="K69" s="25"/>
      <c r="L69" s="25"/>
      <c r="M69" s="25"/>
      <c r="N69" s="25"/>
      <c r="O69" s="25"/>
      <c r="P69" s="25"/>
      <c r="Q69" s="164"/>
      <c r="R69" s="254"/>
      <c r="S69" s="254"/>
      <c r="T69" s="25"/>
      <c r="U69" s="25"/>
      <c r="V69" s="25"/>
      <c r="W69" s="165"/>
      <c r="X69" s="716">
        <f>SUM(X68:Y68)</f>
        <v>19.576470588235296</v>
      </c>
      <c r="Y69" s="716"/>
      <c r="Z69" s="25" t="s">
        <v>43</v>
      </c>
      <c r="AA69" s="25"/>
      <c r="AB69" s="25"/>
      <c r="AC69" s="26"/>
      <c r="AD69" s="25"/>
      <c r="AE69" s="25"/>
      <c r="AF69" s="25"/>
      <c r="AG69" s="25"/>
      <c r="AH69" s="712">
        <f>SUM(AH67:AK68)</f>
        <v>9933.6470588235297</v>
      </c>
      <c r="AI69" s="713"/>
      <c r="AJ69" s="713"/>
      <c r="AK69" s="714"/>
      <c r="AL69" s="619"/>
      <c r="AM69" s="620"/>
      <c r="AN69" s="621"/>
      <c r="AO69" s="622"/>
      <c r="AP69" s="623"/>
      <c r="AQ69" s="624"/>
      <c r="AR69" s="627"/>
      <c r="AS69" s="628"/>
      <c r="AT69" s="628"/>
      <c r="AU69" s="554"/>
      <c r="AV69" s="555"/>
      <c r="AW69" s="7"/>
      <c r="AX69" s="7"/>
    </row>
    <row r="70" spans="2:50" ht="13.5" customHeight="1">
      <c r="B70" s="696" t="s">
        <v>80</v>
      </c>
      <c r="C70" s="697"/>
      <c r="D70" s="697"/>
      <c r="E70" s="698" t="s">
        <v>2</v>
      </c>
      <c r="F70" s="697"/>
      <c r="G70" s="697"/>
      <c r="H70" s="699"/>
      <c r="I70" s="698" t="s">
        <v>79</v>
      </c>
      <c r="J70" s="697"/>
      <c r="K70" s="697"/>
      <c r="L70" s="697"/>
      <c r="M70" s="697"/>
      <c r="N70" s="697"/>
      <c r="O70" s="697"/>
      <c r="P70" s="697"/>
      <c r="Q70" s="699"/>
      <c r="R70" s="698" t="s">
        <v>78</v>
      </c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9"/>
      <c r="AH70" s="698" t="s">
        <v>77</v>
      </c>
      <c r="AI70" s="697"/>
      <c r="AJ70" s="697"/>
      <c r="AK70" s="700"/>
      <c r="AL70" s="605" t="s">
        <v>2</v>
      </c>
      <c r="AM70" s="606"/>
      <c r="AN70" s="680" t="s">
        <v>76</v>
      </c>
      <c r="AO70" s="681"/>
      <c r="AP70" s="681"/>
      <c r="AQ70" s="682"/>
      <c r="AR70" s="680" t="s">
        <v>75</v>
      </c>
      <c r="AS70" s="681"/>
      <c r="AT70" s="681"/>
      <c r="AU70" s="681"/>
      <c r="AV70" s="683"/>
      <c r="AW70" s="7"/>
      <c r="AX70" s="7"/>
    </row>
    <row r="71" spans="2:50" ht="13.5" customHeight="1">
      <c r="B71" s="688" t="s">
        <v>123</v>
      </c>
      <c r="C71" s="690" t="s">
        <v>74</v>
      </c>
      <c r="D71" s="691"/>
      <c r="E71" s="542" t="s">
        <v>73</v>
      </c>
      <c r="F71" s="543"/>
      <c r="G71" s="543"/>
      <c r="H71" s="544"/>
      <c r="I71" s="146" t="s">
        <v>54</v>
      </c>
      <c r="J71" s="28"/>
      <c r="K71" s="28"/>
      <c r="L71" s="28"/>
      <c r="M71" s="28"/>
      <c r="N71" s="28"/>
      <c r="O71" s="28"/>
      <c r="P71" s="28"/>
      <c r="Q71" s="147"/>
      <c r="R71" s="548">
        <f>IF($AJ$16+$AJ$18+$AJ$20=0,0,料金単価!$C$3)</f>
        <v>1285.8699999999999</v>
      </c>
      <c r="S71" s="548"/>
      <c r="T71" s="28" t="s">
        <v>71</v>
      </c>
      <c r="U71" s="28"/>
      <c r="V71" s="28"/>
      <c r="W71" s="549">
        <f>$W$27</f>
        <v>3.2329411764705891</v>
      </c>
      <c r="X71" s="549"/>
      <c r="Y71" s="28" t="s">
        <v>70</v>
      </c>
      <c r="Z71" s="28"/>
      <c r="AA71" s="28">
        <v>1</v>
      </c>
      <c r="AB71" s="28" t="s">
        <v>69</v>
      </c>
      <c r="AC71" s="28"/>
      <c r="AD71" s="36">
        <v>0.85</v>
      </c>
      <c r="AE71" s="28" t="s">
        <v>68</v>
      </c>
      <c r="AF71" s="28"/>
      <c r="AG71" s="28"/>
      <c r="AH71" s="640">
        <f>R71*W71*AA71*AD71</f>
        <v>3533.570760000001</v>
      </c>
      <c r="AI71" s="641"/>
      <c r="AJ71" s="641"/>
      <c r="AK71" s="642"/>
      <c r="AL71" s="633" t="s">
        <v>0</v>
      </c>
      <c r="AM71" s="634"/>
      <c r="AN71" s="659">
        <f>AN38</f>
        <v>0.44900000000000001</v>
      </c>
      <c r="AO71" s="660"/>
      <c r="AP71" s="661" t="s">
        <v>72</v>
      </c>
      <c r="AQ71" s="662"/>
      <c r="AR71" s="663">
        <f>AN71*AB74/1000</f>
        <v>2.3580423529411771E-2</v>
      </c>
      <c r="AS71" s="664"/>
      <c r="AT71" s="664"/>
      <c r="AU71" s="661" t="s">
        <v>42</v>
      </c>
      <c r="AV71" s="674"/>
      <c r="AW71" s="7"/>
      <c r="AX71" s="7"/>
    </row>
    <row r="72" spans="2:50" ht="13.5" customHeight="1">
      <c r="B72" s="689"/>
      <c r="C72" s="692"/>
      <c r="D72" s="693"/>
      <c r="E72" s="545"/>
      <c r="F72" s="546"/>
      <c r="G72" s="546"/>
      <c r="H72" s="547"/>
      <c r="I72" s="677" t="s">
        <v>47</v>
      </c>
      <c r="J72" s="618"/>
      <c r="K72" s="678"/>
      <c r="L72" s="679" t="s">
        <v>67</v>
      </c>
      <c r="M72" s="618"/>
      <c r="N72" s="618"/>
      <c r="O72" s="678"/>
      <c r="P72" s="643" t="s">
        <v>197</v>
      </c>
      <c r="Q72" s="646"/>
      <c r="R72" s="34" t="s">
        <v>157</v>
      </c>
      <c r="S72" s="33">
        <f>IF(P72="夏季",料金単価!$D$3,料金単価!$E$3)</f>
        <v>12.63</v>
      </c>
      <c r="T72" s="148" t="s">
        <v>62</v>
      </c>
      <c r="U72" s="149">
        <f>$U$28</f>
        <v>7.29</v>
      </c>
      <c r="V72" s="148" t="s">
        <v>62</v>
      </c>
      <c r="W72" s="150">
        <f>$W$28</f>
        <v>3.45</v>
      </c>
      <c r="X72" s="151" t="s">
        <v>64</v>
      </c>
      <c r="Y72" s="24" t="s">
        <v>61</v>
      </c>
      <c r="Z72" s="151"/>
      <c r="AA72" s="32"/>
      <c r="AB72" s="702">
        <f>R$17+R$19+R$21</f>
        <v>52.517647058823542</v>
      </c>
      <c r="AC72" s="702"/>
      <c r="AD72" s="24" t="s">
        <v>63</v>
      </c>
      <c r="AE72" s="24"/>
      <c r="AF72" s="24"/>
      <c r="AG72" s="152"/>
      <c r="AH72" s="648">
        <f>(S72+U72+W72)*AB72</f>
        <v>1227.3374117647063</v>
      </c>
      <c r="AI72" s="649"/>
      <c r="AJ72" s="649"/>
      <c r="AK72" s="650"/>
      <c r="AL72" s="617"/>
      <c r="AM72" s="618"/>
      <c r="AN72" s="594"/>
      <c r="AO72" s="595"/>
      <c r="AP72" s="613"/>
      <c r="AQ72" s="614"/>
      <c r="AR72" s="625"/>
      <c r="AS72" s="626"/>
      <c r="AT72" s="626"/>
      <c r="AU72" s="613"/>
      <c r="AV72" s="675"/>
      <c r="AW72" s="7"/>
      <c r="AX72" s="7"/>
    </row>
    <row r="73" spans="2:50" ht="13.5" customHeight="1">
      <c r="B73" s="689"/>
      <c r="C73" s="692"/>
      <c r="D73" s="693"/>
      <c r="E73" s="545"/>
      <c r="F73" s="546"/>
      <c r="G73" s="546"/>
      <c r="H73" s="547"/>
      <c r="I73" s="255"/>
      <c r="J73" s="252"/>
      <c r="K73" s="252"/>
      <c r="L73" s="259"/>
      <c r="M73" s="259"/>
      <c r="N73" s="259"/>
      <c r="O73" s="259"/>
      <c r="P73" s="259"/>
      <c r="Q73" s="256"/>
      <c r="R73" s="31"/>
      <c r="S73" s="157" t="s">
        <v>60</v>
      </c>
      <c r="T73" s="175"/>
      <c r="U73" s="176" t="s">
        <v>59</v>
      </c>
      <c r="V73" s="175"/>
      <c r="W73" s="160" t="s">
        <v>58</v>
      </c>
      <c r="Y73" s="30"/>
      <c r="AA73" s="10"/>
      <c r="AB73" s="52"/>
      <c r="AC73" s="52"/>
      <c r="AD73" s="30"/>
      <c r="AE73" s="30"/>
      <c r="AF73" s="30"/>
      <c r="AG73" s="253"/>
      <c r="AH73" s="703"/>
      <c r="AI73" s="704"/>
      <c r="AJ73" s="704"/>
      <c r="AK73" s="705"/>
      <c r="AL73" s="617"/>
      <c r="AM73" s="618"/>
      <c r="AN73" s="594"/>
      <c r="AO73" s="595"/>
      <c r="AP73" s="613"/>
      <c r="AQ73" s="614"/>
      <c r="AR73" s="625"/>
      <c r="AS73" s="626"/>
      <c r="AT73" s="626"/>
      <c r="AU73" s="613"/>
      <c r="AV73" s="675"/>
      <c r="AW73" s="7"/>
      <c r="AX73" s="7"/>
    </row>
    <row r="74" spans="2:50" ht="13.5" customHeight="1">
      <c r="B74" s="689"/>
      <c r="C74" s="694"/>
      <c r="D74" s="695"/>
      <c r="E74" s="708" t="s">
        <v>44</v>
      </c>
      <c r="F74" s="709"/>
      <c r="G74" s="709"/>
      <c r="H74" s="710"/>
      <c r="I74" s="163"/>
      <c r="J74" s="25"/>
      <c r="K74" s="25"/>
      <c r="L74" s="25"/>
      <c r="M74" s="25"/>
      <c r="N74" s="25"/>
      <c r="O74" s="25"/>
      <c r="P74" s="25"/>
      <c r="Q74" s="164"/>
      <c r="R74" s="254"/>
      <c r="S74" s="254"/>
      <c r="T74" s="25"/>
      <c r="U74" s="25"/>
      <c r="V74" s="25"/>
      <c r="W74" s="165"/>
      <c r="X74" s="260"/>
      <c r="Y74" s="260"/>
      <c r="Z74" s="167"/>
      <c r="AA74" s="168"/>
      <c r="AB74" s="711">
        <f>SUM(AB72:AC72)</f>
        <v>52.517647058823542</v>
      </c>
      <c r="AC74" s="711"/>
      <c r="AD74" s="169" t="s">
        <v>57</v>
      </c>
      <c r="AE74" s="25"/>
      <c r="AF74" s="25"/>
      <c r="AG74" s="25"/>
      <c r="AH74" s="712">
        <f>SUM(AH71:AK72)</f>
        <v>4760.9081717647077</v>
      </c>
      <c r="AI74" s="713"/>
      <c r="AJ74" s="713"/>
      <c r="AK74" s="714"/>
      <c r="AL74" s="619"/>
      <c r="AM74" s="620"/>
      <c r="AN74" s="621"/>
      <c r="AO74" s="622"/>
      <c r="AP74" s="623"/>
      <c r="AQ74" s="624"/>
      <c r="AR74" s="627"/>
      <c r="AS74" s="628"/>
      <c r="AT74" s="628"/>
      <c r="AU74" s="623"/>
      <c r="AV74" s="717"/>
      <c r="AW74" s="7"/>
      <c r="AX74" s="7"/>
    </row>
    <row r="75" spans="2:50" ht="13.5" customHeight="1">
      <c r="B75" s="689"/>
      <c r="C75" s="690" t="s">
        <v>56</v>
      </c>
      <c r="D75" s="691"/>
      <c r="E75" s="638" t="s">
        <v>55</v>
      </c>
      <c r="F75" s="543"/>
      <c r="G75" s="543"/>
      <c r="H75" s="544"/>
      <c r="I75" s="146" t="s">
        <v>54</v>
      </c>
      <c r="J75" s="28"/>
      <c r="K75" s="28"/>
      <c r="L75" s="28"/>
      <c r="M75" s="28"/>
      <c r="N75" s="28"/>
      <c r="O75" s="28"/>
      <c r="P75" s="28"/>
      <c r="Q75" s="147"/>
      <c r="R75" s="37" t="s">
        <v>111</v>
      </c>
      <c r="S75" s="639">
        <f>IF('様式11-5'!U$1="LPG",0,IF(R$22&lt;50,料金単価!$C$7,(IF(R$22&lt;100,料金単価!$C$8,IF($R$22&lt;250,料金単価!$C$9,IF($R$22&lt;500,料金単価!$C$10,IF($R$22&lt;800,料金単価!$C$11,料金単価!$C$12)))))))</f>
        <v>0</v>
      </c>
      <c r="T75" s="639"/>
      <c r="U75" s="28" t="s">
        <v>53</v>
      </c>
      <c r="V75" s="54"/>
      <c r="W75" s="29"/>
      <c r="X75" s="29"/>
      <c r="Y75" s="29"/>
      <c r="Z75" s="29"/>
      <c r="AA75" s="29"/>
      <c r="AB75" s="28">
        <v>1</v>
      </c>
      <c r="AC75" s="251" t="s">
        <v>51</v>
      </c>
      <c r="AD75" s="28"/>
      <c r="AE75" s="28"/>
      <c r="AF75" s="28"/>
      <c r="AG75" s="28"/>
      <c r="AH75" s="640">
        <f>IF($AH$22+$AH$23=0,0,S75*AB75)</f>
        <v>0</v>
      </c>
      <c r="AI75" s="641"/>
      <c r="AJ75" s="641"/>
      <c r="AK75" s="642"/>
      <c r="AL75" s="718" t="s">
        <v>55</v>
      </c>
      <c r="AM75" s="618"/>
      <c r="AN75" s="594">
        <f>AN42</f>
        <v>2.29</v>
      </c>
      <c r="AO75" s="595"/>
      <c r="AP75" s="613" t="s">
        <v>45</v>
      </c>
      <c r="AQ75" s="614"/>
      <c r="AR75" s="625">
        <f>AN75*Z77/1000</f>
        <v>0</v>
      </c>
      <c r="AS75" s="626"/>
      <c r="AT75" s="626"/>
      <c r="AU75" s="552" t="s">
        <v>42</v>
      </c>
      <c r="AV75" s="553"/>
      <c r="AW75" s="7"/>
      <c r="AX75" s="7"/>
    </row>
    <row r="76" spans="2:50" ht="13.5" customHeight="1">
      <c r="B76" s="689"/>
      <c r="C76" s="692"/>
      <c r="D76" s="693"/>
      <c r="E76" s="545"/>
      <c r="F76" s="546"/>
      <c r="G76" s="546"/>
      <c r="H76" s="547"/>
      <c r="I76" s="170" t="s">
        <v>47</v>
      </c>
      <c r="J76" s="23"/>
      <c r="K76" s="23"/>
      <c r="L76" s="23"/>
      <c r="M76" s="23"/>
      <c r="N76" s="23"/>
      <c r="O76" s="23"/>
      <c r="P76" s="23" t="s">
        <v>50</v>
      </c>
      <c r="Q76" s="171"/>
      <c r="R76" s="34" t="s">
        <v>111</v>
      </c>
      <c r="S76" s="556">
        <f>IF(P76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76" s="556"/>
      <c r="U76" s="23" t="s">
        <v>48</v>
      </c>
      <c r="V76" s="172" t="s">
        <v>110</v>
      </c>
      <c r="W76" s="173">
        <f>W65</f>
        <v>14.55</v>
      </c>
      <c r="X76" s="258" t="s">
        <v>112</v>
      </c>
      <c r="Y76" s="259" t="s">
        <v>113</v>
      </c>
      <c r="Z76" s="665">
        <f>IF('様式11-5'!U$1="LPG",0,R$22)</f>
        <v>0</v>
      </c>
      <c r="AA76" s="665"/>
      <c r="AB76" s="23" t="s">
        <v>46</v>
      </c>
      <c r="AC76" s="23"/>
      <c r="AD76" s="23"/>
      <c r="AE76" s="23"/>
      <c r="AF76" s="23"/>
      <c r="AG76" s="23"/>
      <c r="AH76" s="558">
        <f>(S76+W76)*Z76</f>
        <v>0</v>
      </c>
      <c r="AI76" s="559"/>
      <c r="AJ76" s="559"/>
      <c r="AK76" s="560"/>
      <c r="AL76" s="617"/>
      <c r="AM76" s="618"/>
      <c r="AN76" s="594"/>
      <c r="AO76" s="595"/>
      <c r="AP76" s="613"/>
      <c r="AQ76" s="614"/>
      <c r="AR76" s="625"/>
      <c r="AS76" s="626"/>
      <c r="AT76" s="626"/>
      <c r="AU76" s="552"/>
      <c r="AV76" s="553"/>
      <c r="AW76" s="7"/>
      <c r="AX76" s="7"/>
    </row>
    <row r="77" spans="2:50" ht="13.5" customHeight="1">
      <c r="B77" s="689"/>
      <c r="C77" s="692"/>
      <c r="D77" s="693"/>
      <c r="E77" s="708" t="s">
        <v>44</v>
      </c>
      <c r="F77" s="709"/>
      <c r="G77" s="709"/>
      <c r="H77" s="710"/>
      <c r="I77" s="163"/>
      <c r="J77" s="25"/>
      <c r="K77" s="25"/>
      <c r="L77" s="25"/>
      <c r="M77" s="25"/>
      <c r="N77" s="25"/>
      <c r="O77" s="25"/>
      <c r="P77" s="25"/>
      <c r="Q77" s="164"/>
      <c r="R77" s="254"/>
      <c r="S77" s="254"/>
      <c r="T77" s="25"/>
      <c r="U77" s="25"/>
      <c r="V77" s="25"/>
      <c r="W77" s="165"/>
      <c r="X77" s="260"/>
      <c r="Y77" s="260"/>
      <c r="Z77" s="715">
        <f>SUM(Z76:Z76)</f>
        <v>0</v>
      </c>
      <c r="AA77" s="715"/>
      <c r="AB77" s="167" t="s">
        <v>43</v>
      </c>
      <c r="AC77" s="167"/>
      <c r="AD77" s="25"/>
      <c r="AE77" s="25"/>
      <c r="AF77" s="25"/>
      <c r="AG77" s="25"/>
      <c r="AH77" s="712">
        <f>SUM(AH75:AK76)</f>
        <v>0</v>
      </c>
      <c r="AI77" s="713"/>
      <c r="AJ77" s="713"/>
      <c r="AK77" s="714"/>
      <c r="AL77" s="619"/>
      <c r="AM77" s="620"/>
      <c r="AN77" s="621"/>
      <c r="AO77" s="622"/>
      <c r="AP77" s="623"/>
      <c r="AQ77" s="624"/>
      <c r="AR77" s="627"/>
      <c r="AS77" s="628"/>
      <c r="AT77" s="628"/>
      <c r="AU77" s="554"/>
      <c r="AV77" s="555"/>
      <c r="AW77" s="7"/>
      <c r="AX77" s="7"/>
    </row>
    <row r="78" spans="2:50" ht="13.5" customHeight="1">
      <c r="B78" s="689"/>
      <c r="C78" s="692"/>
      <c r="D78" s="693"/>
      <c r="E78" s="638" t="s">
        <v>52</v>
      </c>
      <c r="F78" s="543"/>
      <c r="G78" s="543"/>
      <c r="H78" s="544"/>
      <c r="I78" s="146" t="s">
        <v>54</v>
      </c>
      <c r="J78" s="28"/>
      <c r="K78" s="28"/>
      <c r="L78" s="28"/>
      <c r="M78" s="28"/>
      <c r="N78" s="28"/>
      <c r="O78" s="28"/>
      <c r="P78" s="28"/>
      <c r="Q78" s="147"/>
      <c r="R78" s="641">
        <f>$R$34</f>
        <v>1320</v>
      </c>
      <c r="S78" s="641"/>
      <c r="T78" s="28" t="s">
        <v>53</v>
      </c>
      <c r="U78" s="28"/>
      <c r="V78" s="29"/>
      <c r="W78" s="29"/>
      <c r="X78" s="29"/>
      <c r="Y78" s="29"/>
      <c r="Z78" s="29"/>
      <c r="AA78" s="29"/>
      <c r="AB78" s="28">
        <v>1</v>
      </c>
      <c r="AC78" s="251" t="s">
        <v>51</v>
      </c>
      <c r="AD78" s="28"/>
      <c r="AE78" s="28"/>
      <c r="AF78" s="28"/>
      <c r="AG78" s="28"/>
      <c r="AH78" s="640">
        <f>IF($AH$22+$AH$23=0,0,R78*AB78)</f>
        <v>1320</v>
      </c>
      <c r="AI78" s="641"/>
      <c r="AJ78" s="641"/>
      <c r="AK78" s="642"/>
      <c r="AL78" s="617" t="s">
        <v>52</v>
      </c>
      <c r="AM78" s="618"/>
      <c r="AN78" s="594">
        <f>AN45</f>
        <v>6</v>
      </c>
      <c r="AO78" s="595"/>
      <c r="AP78" s="613" t="s">
        <v>45</v>
      </c>
      <c r="AQ78" s="614"/>
      <c r="AR78" s="625">
        <f>AN78*X80/1000</f>
        <v>0.11745882352941177</v>
      </c>
      <c r="AS78" s="626"/>
      <c r="AT78" s="626"/>
      <c r="AU78" s="552" t="s">
        <v>42</v>
      </c>
      <c r="AV78" s="553"/>
      <c r="AW78" s="7"/>
      <c r="AX78" s="7"/>
    </row>
    <row r="79" spans="2:50" ht="13.5" customHeight="1">
      <c r="B79" s="689"/>
      <c r="C79" s="692"/>
      <c r="D79" s="693"/>
      <c r="E79" s="545"/>
      <c r="F79" s="546"/>
      <c r="G79" s="546"/>
      <c r="H79" s="547"/>
      <c r="I79" s="170" t="s">
        <v>47</v>
      </c>
      <c r="J79" s="23"/>
      <c r="K79" s="23"/>
      <c r="L79" s="23"/>
      <c r="M79" s="23"/>
      <c r="N79" s="23"/>
      <c r="O79" s="23"/>
      <c r="P79" s="23"/>
      <c r="Q79" s="171"/>
      <c r="R79" s="706">
        <f>$R$35</f>
        <v>440</v>
      </c>
      <c r="S79" s="707"/>
      <c r="T79" s="23" t="s">
        <v>48</v>
      </c>
      <c r="U79" s="23"/>
      <c r="V79" s="23"/>
      <c r="W79" s="23"/>
      <c r="X79" s="657">
        <f>IF('様式11-5'!U$1="LPG",P$22,0)</f>
        <v>19.576470588235296</v>
      </c>
      <c r="Y79" s="644"/>
      <c r="Z79" s="23" t="s">
        <v>46</v>
      </c>
      <c r="AA79" s="23"/>
      <c r="AB79" s="23"/>
      <c r="AC79" s="24"/>
      <c r="AD79" s="23"/>
      <c r="AE79" s="23"/>
      <c r="AF79" s="23"/>
      <c r="AG79" s="23"/>
      <c r="AH79" s="558">
        <f>R79*X79</f>
        <v>8613.6470588235297</v>
      </c>
      <c r="AI79" s="559"/>
      <c r="AJ79" s="559"/>
      <c r="AK79" s="560"/>
      <c r="AL79" s="617"/>
      <c r="AM79" s="618"/>
      <c r="AN79" s="594"/>
      <c r="AO79" s="595"/>
      <c r="AP79" s="613"/>
      <c r="AQ79" s="614"/>
      <c r="AR79" s="625"/>
      <c r="AS79" s="626"/>
      <c r="AT79" s="626"/>
      <c r="AU79" s="552"/>
      <c r="AV79" s="553"/>
      <c r="AW79" s="7"/>
      <c r="AX79" s="7"/>
    </row>
    <row r="80" spans="2:50" ht="13.5" customHeight="1" thickBot="1">
      <c r="B80" s="689"/>
      <c r="C80" s="694"/>
      <c r="D80" s="695"/>
      <c r="E80" s="708" t="s">
        <v>44</v>
      </c>
      <c r="F80" s="709"/>
      <c r="G80" s="709"/>
      <c r="H80" s="710"/>
      <c r="I80" s="163"/>
      <c r="J80" s="25"/>
      <c r="K80" s="25"/>
      <c r="L80" s="25"/>
      <c r="M80" s="25"/>
      <c r="N80" s="25"/>
      <c r="O80" s="25"/>
      <c r="P80" s="25"/>
      <c r="Q80" s="164"/>
      <c r="R80" s="254"/>
      <c r="S80" s="254"/>
      <c r="T80" s="25"/>
      <c r="U80" s="25"/>
      <c r="V80" s="25"/>
      <c r="W80" s="165"/>
      <c r="X80" s="716">
        <f>SUM(X79:Y79)</f>
        <v>19.576470588235296</v>
      </c>
      <c r="Y80" s="716"/>
      <c r="Z80" s="25" t="s">
        <v>43</v>
      </c>
      <c r="AA80" s="25"/>
      <c r="AB80" s="25"/>
      <c r="AC80" s="26"/>
      <c r="AD80" s="25"/>
      <c r="AE80" s="25"/>
      <c r="AF80" s="25"/>
      <c r="AG80" s="25"/>
      <c r="AH80" s="712">
        <f>SUM(AH78:AK79)</f>
        <v>9933.6470588235297</v>
      </c>
      <c r="AI80" s="713"/>
      <c r="AJ80" s="713"/>
      <c r="AK80" s="714"/>
      <c r="AL80" s="619"/>
      <c r="AM80" s="620"/>
      <c r="AN80" s="621"/>
      <c r="AO80" s="622"/>
      <c r="AP80" s="623"/>
      <c r="AQ80" s="624"/>
      <c r="AR80" s="627"/>
      <c r="AS80" s="628"/>
      <c r="AT80" s="628"/>
      <c r="AU80" s="554"/>
      <c r="AV80" s="555"/>
      <c r="AW80" s="7"/>
      <c r="AX80" s="7"/>
    </row>
    <row r="81" spans="2:50" ht="13.5" customHeight="1">
      <c r="B81" s="696" t="s">
        <v>80</v>
      </c>
      <c r="C81" s="697"/>
      <c r="D81" s="697"/>
      <c r="E81" s="698" t="s">
        <v>2</v>
      </c>
      <c r="F81" s="697"/>
      <c r="G81" s="697"/>
      <c r="H81" s="699"/>
      <c r="I81" s="698" t="s">
        <v>79</v>
      </c>
      <c r="J81" s="697"/>
      <c r="K81" s="697"/>
      <c r="L81" s="697"/>
      <c r="M81" s="697"/>
      <c r="N81" s="697"/>
      <c r="O81" s="697"/>
      <c r="P81" s="697"/>
      <c r="Q81" s="699"/>
      <c r="R81" s="698" t="s">
        <v>78</v>
      </c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697"/>
      <c r="AF81" s="697"/>
      <c r="AG81" s="699"/>
      <c r="AH81" s="698" t="s">
        <v>77</v>
      </c>
      <c r="AI81" s="697"/>
      <c r="AJ81" s="697"/>
      <c r="AK81" s="700"/>
      <c r="AL81" s="605" t="s">
        <v>2</v>
      </c>
      <c r="AM81" s="606"/>
      <c r="AN81" s="680" t="s">
        <v>76</v>
      </c>
      <c r="AO81" s="681"/>
      <c r="AP81" s="681"/>
      <c r="AQ81" s="682"/>
      <c r="AR81" s="680" t="s">
        <v>75</v>
      </c>
      <c r="AS81" s="681"/>
      <c r="AT81" s="681"/>
      <c r="AU81" s="681"/>
      <c r="AV81" s="683"/>
      <c r="AW81" s="7"/>
      <c r="AX81" s="7"/>
    </row>
    <row r="82" spans="2:50" ht="13.5" customHeight="1">
      <c r="B82" s="688" t="s">
        <v>108</v>
      </c>
      <c r="C82" s="690" t="s">
        <v>74</v>
      </c>
      <c r="D82" s="691"/>
      <c r="E82" s="542" t="s">
        <v>73</v>
      </c>
      <c r="F82" s="543"/>
      <c r="G82" s="543"/>
      <c r="H82" s="544"/>
      <c r="I82" s="146" t="s">
        <v>54</v>
      </c>
      <c r="J82" s="28"/>
      <c r="K82" s="28"/>
      <c r="L82" s="28"/>
      <c r="M82" s="28"/>
      <c r="N82" s="28"/>
      <c r="O82" s="28"/>
      <c r="P82" s="28"/>
      <c r="Q82" s="147"/>
      <c r="R82" s="548">
        <f>IF($AJ$16+$AJ$18+$AJ$20=0,0,料金単価!$C$3)</f>
        <v>1285.8699999999999</v>
      </c>
      <c r="S82" s="548"/>
      <c r="T82" s="28" t="s">
        <v>71</v>
      </c>
      <c r="U82" s="28"/>
      <c r="V82" s="28"/>
      <c r="W82" s="549">
        <f>$W$27</f>
        <v>3.2329411764705891</v>
      </c>
      <c r="X82" s="549"/>
      <c r="Y82" s="28" t="s">
        <v>70</v>
      </c>
      <c r="Z82" s="28"/>
      <c r="AA82" s="28">
        <v>1</v>
      </c>
      <c r="AB82" s="28" t="s">
        <v>69</v>
      </c>
      <c r="AC82" s="28"/>
      <c r="AD82" s="36">
        <v>0.85</v>
      </c>
      <c r="AE82" s="28" t="s">
        <v>68</v>
      </c>
      <c r="AF82" s="28"/>
      <c r="AG82" s="28"/>
      <c r="AH82" s="640">
        <f>R82*W82*AA82*AD82</f>
        <v>3533.570760000001</v>
      </c>
      <c r="AI82" s="641"/>
      <c r="AJ82" s="641"/>
      <c r="AK82" s="642"/>
      <c r="AL82" s="633" t="s">
        <v>0</v>
      </c>
      <c r="AM82" s="634"/>
      <c r="AN82" s="659">
        <f>AN49</f>
        <v>0.44900000000000001</v>
      </c>
      <c r="AO82" s="660"/>
      <c r="AP82" s="661" t="s">
        <v>72</v>
      </c>
      <c r="AQ82" s="662"/>
      <c r="AR82" s="663">
        <f>AN82*AB85/1000</f>
        <v>2.2819764705882359E-2</v>
      </c>
      <c r="AS82" s="664"/>
      <c r="AT82" s="664"/>
      <c r="AU82" s="661" t="s">
        <v>42</v>
      </c>
      <c r="AV82" s="674"/>
      <c r="AW82" s="7"/>
      <c r="AX82" s="7"/>
    </row>
    <row r="83" spans="2:50" ht="13.5" customHeight="1">
      <c r="B83" s="689"/>
      <c r="C83" s="692"/>
      <c r="D83" s="693"/>
      <c r="E83" s="545"/>
      <c r="F83" s="546"/>
      <c r="G83" s="546"/>
      <c r="H83" s="547"/>
      <c r="I83" s="677" t="s">
        <v>47</v>
      </c>
      <c r="J83" s="618"/>
      <c r="K83" s="678"/>
      <c r="L83" s="679" t="s">
        <v>203</v>
      </c>
      <c r="M83" s="618"/>
      <c r="N83" s="618"/>
      <c r="O83" s="678"/>
      <c r="P83" s="643" t="s">
        <v>197</v>
      </c>
      <c r="Q83" s="646"/>
      <c r="R83" s="34" t="s">
        <v>157</v>
      </c>
      <c r="S83" s="33">
        <f>IF(P83="夏季",料金単価!$D$3,料金単価!$E$3)</f>
        <v>12.63</v>
      </c>
      <c r="T83" s="148" t="s">
        <v>62</v>
      </c>
      <c r="U83" s="149">
        <f>$U$28</f>
        <v>7.29</v>
      </c>
      <c r="V83" s="148" t="s">
        <v>62</v>
      </c>
      <c r="W83" s="150">
        <f>$W$28</f>
        <v>3.45</v>
      </c>
      <c r="X83" s="151" t="s">
        <v>64</v>
      </c>
      <c r="Y83" s="24" t="s">
        <v>61</v>
      </c>
      <c r="Z83" s="151"/>
      <c r="AA83" s="32"/>
      <c r="AB83" s="702">
        <f>T$17+T$19+T$21</f>
        <v>50.823529411764717</v>
      </c>
      <c r="AC83" s="702"/>
      <c r="AD83" s="24" t="s">
        <v>63</v>
      </c>
      <c r="AE83" s="24"/>
      <c r="AF83" s="24"/>
      <c r="AG83" s="152"/>
      <c r="AH83" s="648">
        <f>(S83+U83+W83)*AB83</f>
        <v>1187.7458823529414</v>
      </c>
      <c r="AI83" s="649"/>
      <c r="AJ83" s="649"/>
      <c r="AK83" s="650"/>
      <c r="AL83" s="617"/>
      <c r="AM83" s="618"/>
      <c r="AN83" s="594"/>
      <c r="AO83" s="595"/>
      <c r="AP83" s="613"/>
      <c r="AQ83" s="614"/>
      <c r="AR83" s="625"/>
      <c r="AS83" s="626"/>
      <c r="AT83" s="626"/>
      <c r="AU83" s="613"/>
      <c r="AV83" s="675"/>
      <c r="AW83" s="7"/>
      <c r="AX83" s="7"/>
    </row>
    <row r="84" spans="2:50" ht="13.5" customHeight="1">
      <c r="B84" s="689"/>
      <c r="C84" s="692"/>
      <c r="D84" s="693"/>
      <c r="E84" s="545"/>
      <c r="F84" s="546"/>
      <c r="G84" s="546"/>
      <c r="H84" s="547"/>
      <c r="I84" s="255"/>
      <c r="J84" s="252"/>
      <c r="K84" s="252"/>
      <c r="L84" s="259"/>
      <c r="M84" s="259"/>
      <c r="N84" s="259"/>
      <c r="O84" s="259"/>
      <c r="P84" s="259"/>
      <c r="Q84" s="256"/>
      <c r="R84" s="31"/>
      <c r="S84" s="157" t="s">
        <v>60</v>
      </c>
      <c r="T84" s="175"/>
      <c r="U84" s="176" t="s">
        <v>59</v>
      </c>
      <c r="V84" s="175"/>
      <c r="W84" s="160" t="s">
        <v>58</v>
      </c>
      <c r="Y84" s="30"/>
      <c r="AA84" s="10"/>
      <c r="AB84" s="52"/>
      <c r="AC84" s="52"/>
      <c r="AD84" s="30"/>
      <c r="AE84" s="30"/>
      <c r="AF84" s="30"/>
      <c r="AG84" s="253"/>
      <c r="AH84" s="703"/>
      <c r="AI84" s="704"/>
      <c r="AJ84" s="704"/>
      <c r="AK84" s="705"/>
      <c r="AL84" s="617"/>
      <c r="AM84" s="618"/>
      <c r="AN84" s="594"/>
      <c r="AO84" s="595"/>
      <c r="AP84" s="613"/>
      <c r="AQ84" s="614"/>
      <c r="AR84" s="625"/>
      <c r="AS84" s="626"/>
      <c r="AT84" s="626"/>
      <c r="AU84" s="613"/>
      <c r="AV84" s="675"/>
      <c r="AW84" s="7"/>
      <c r="AX84" s="7"/>
    </row>
    <row r="85" spans="2:50" ht="13.5" customHeight="1">
      <c r="B85" s="689"/>
      <c r="C85" s="694"/>
      <c r="D85" s="695"/>
      <c r="E85" s="708" t="s">
        <v>44</v>
      </c>
      <c r="F85" s="709"/>
      <c r="G85" s="709"/>
      <c r="H85" s="710"/>
      <c r="I85" s="163"/>
      <c r="J85" s="25"/>
      <c r="K85" s="25"/>
      <c r="L85" s="25"/>
      <c r="M85" s="25"/>
      <c r="N85" s="25"/>
      <c r="O85" s="25"/>
      <c r="P85" s="25"/>
      <c r="Q85" s="164"/>
      <c r="R85" s="254"/>
      <c r="S85" s="254"/>
      <c r="T85" s="25"/>
      <c r="U85" s="25"/>
      <c r="V85" s="25"/>
      <c r="W85" s="165"/>
      <c r="X85" s="260"/>
      <c r="Y85" s="260"/>
      <c r="Z85" s="167"/>
      <c r="AA85" s="168"/>
      <c r="AB85" s="711">
        <f>SUM(AB83:AC83)</f>
        <v>50.823529411764717</v>
      </c>
      <c r="AC85" s="711"/>
      <c r="AD85" s="169" t="s">
        <v>57</v>
      </c>
      <c r="AE85" s="25"/>
      <c r="AF85" s="25"/>
      <c r="AG85" s="25"/>
      <c r="AH85" s="712">
        <f>SUM(AH82:AK83)</f>
        <v>4721.3166423529419</v>
      </c>
      <c r="AI85" s="713"/>
      <c r="AJ85" s="713"/>
      <c r="AK85" s="714"/>
      <c r="AL85" s="619"/>
      <c r="AM85" s="620"/>
      <c r="AN85" s="621"/>
      <c r="AO85" s="622"/>
      <c r="AP85" s="623"/>
      <c r="AQ85" s="624"/>
      <c r="AR85" s="627"/>
      <c r="AS85" s="628"/>
      <c r="AT85" s="628"/>
      <c r="AU85" s="623"/>
      <c r="AV85" s="717"/>
      <c r="AW85" s="7"/>
      <c r="AX85" s="7"/>
    </row>
    <row r="86" spans="2:50" ht="13.5" customHeight="1">
      <c r="B86" s="689"/>
      <c r="C86" s="690" t="s">
        <v>56</v>
      </c>
      <c r="D86" s="691"/>
      <c r="E86" s="638" t="s">
        <v>55</v>
      </c>
      <c r="F86" s="543"/>
      <c r="G86" s="543"/>
      <c r="H86" s="544"/>
      <c r="I86" s="146" t="s">
        <v>54</v>
      </c>
      <c r="J86" s="28"/>
      <c r="K86" s="28"/>
      <c r="L86" s="28"/>
      <c r="M86" s="28"/>
      <c r="N86" s="28"/>
      <c r="O86" s="28"/>
      <c r="P86" s="28"/>
      <c r="Q86" s="147"/>
      <c r="R86" s="37" t="s">
        <v>111</v>
      </c>
      <c r="S86" s="639">
        <f>IF('様式11-5'!U$1="LPG",0,IF(T$22&lt;50,料金単価!$C$7,(IF(T$22&lt;100,料金単価!$C$8,IF($T$22&lt;250,料金単価!$C$9,IF($T$22&lt;500,料金単価!$C$10,IF($T$22&lt;800,料金単価!$C$11,料金単価!$C$12)))))))</f>
        <v>0</v>
      </c>
      <c r="T86" s="639"/>
      <c r="U86" s="28" t="s">
        <v>53</v>
      </c>
      <c r="V86" s="54"/>
      <c r="W86" s="29"/>
      <c r="X86" s="29"/>
      <c r="Y86" s="29"/>
      <c r="Z86" s="29"/>
      <c r="AA86" s="29"/>
      <c r="AB86" s="28">
        <v>1</v>
      </c>
      <c r="AC86" s="251" t="s">
        <v>51</v>
      </c>
      <c r="AD86" s="28"/>
      <c r="AE86" s="28"/>
      <c r="AF86" s="28"/>
      <c r="AG86" s="28"/>
      <c r="AH86" s="640">
        <f>IF($AH$22+$AH$23=0,0,S86*AB86)</f>
        <v>0</v>
      </c>
      <c r="AI86" s="641"/>
      <c r="AJ86" s="641"/>
      <c r="AK86" s="642"/>
      <c r="AL86" s="718" t="s">
        <v>55</v>
      </c>
      <c r="AM86" s="618"/>
      <c r="AN86" s="594">
        <f>AN53</f>
        <v>2.29</v>
      </c>
      <c r="AO86" s="595"/>
      <c r="AP86" s="613" t="s">
        <v>45</v>
      </c>
      <c r="AQ86" s="614"/>
      <c r="AR86" s="625">
        <f>AN86*Z88/1000</f>
        <v>0</v>
      </c>
      <c r="AS86" s="626"/>
      <c r="AT86" s="626"/>
      <c r="AU86" s="552" t="s">
        <v>42</v>
      </c>
      <c r="AV86" s="553"/>
      <c r="AW86" s="7"/>
      <c r="AX86" s="7"/>
    </row>
    <row r="87" spans="2:50" ht="13.5" customHeight="1">
      <c r="B87" s="689"/>
      <c r="C87" s="692"/>
      <c r="D87" s="693"/>
      <c r="E87" s="545"/>
      <c r="F87" s="546"/>
      <c r="G87" s="546"/>
      <c r="H87" s="547"/>
      <c r="I87" s="170" t="s">
        <v>47</v>
      </c>
      <c r="J87" s="23"/>
      <c r="K87" s="23"/>
      <c r="L87" s="23"/>
      <c r="M87" s="23"/>
      <c r="N87" s="23"/>
      <c r="O87" s="23"/>
      <c r="P87" s="23" t="s">
        <v>50</v>
      </c>
      <c r="Q87" s="171"/>
      <c r="R87" s="34" t="s">
        <v>111</v>
      </c>
      <c r="S87" s="556">
        <f>IF(P87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87" s="556"/>
      <c r="U87" s="23" t="s">
        <v>48</v>
      </c>
      <c r="V87" s="172" t="s">
        <v>110</v>
      </c>
      <c r="W87" s="173">
        <f>W76</f>
        <v>14.55</v>
      </c>
      <c r="X87" s="258" t="s">
        <v>112</v>
      </c>
      <c r="Y87" s="259" t="s">
        <v>113</v>
      </c>
      <c r="Z87" s="665">
        <f>IF('様式11-5'!U$1="LPG",0,T$22)</f>
        <v>0</v>
      </c>
      <c r="AA87" s="665"/>
      <c r="AB87" s="23" t="s">
        <v>46</v>
      </c>
      <c r="AC87" s="23"/>
      <c r="AD87" s="23"/>
      <c r="AE87" s="23"/>
      <c r="AF87" s="23"/>
      <c r="AG87" s="23"/>
      <c r="AH87" s="558">
        <f>(S87+W87)*Z87</f>
        <v>0</v>
      </c>
      <c r="AI87" s="559"/>
      <c r="AJ87" s="559"/>
      <c r="AK87" s="560"/>
      <c r="AL87" s="617"/>
      <c r="AM87" s="618"/>
      <c r="AN87" s="594"/>
      <c r="AO87" s="595"/>
      <c r="AP87" s="613"/>
      <c r="AQ87" s="614"/>
      <c r="AR87" s="625"/>
      <c r="AS87" s="626"/>
      <c r="AT87" s="626"/>
      <c r="AU87" s="552"/>
      <c r="AV87" s="553"/>
      <c r="AW87" s="7"/>
      <c r="AX87" s="7"/>
    </row>
    <row r="88" spans="2:50" ht="13.5" customHeight="1">
      <c r="B88" s="689"/>
      <c r="C88" s="692"/>
      <c r="D88" s="693"/>
      <c r="E88" s="708" t="s">
        <v>44</v>
      </c>
      <c r="F88" s="709"/>
      <c r="G88" s="709"/>
      <c r="H88" s="710"/>
      <c r="I88" s="163"/>
      <c r="J88" s="25"/>
      <c r="K88" s="25"/>
      <c r="L88" s="25"/>
      <c r="M88" s="25"/>
      <c r="N88" s="25"/>
      <c r="O88" s="25"/>
      <c r="P88" s="25"/>
      <c r="Q88" s="164"/>
      <c r="R88" s="254"/>
      <c r="S88" s="254"/>
      <c r="T88" s="25"/>
      <c r="U88" s="25"/>
      <c r="V88" s="25"/>
      <c r="W88" s="165"/>
      <c r="X88" s="260"/>
      <c r="Y88" s="260"/>
      <c r="Z88" s="715">
        <f>SUM(Z87:Z87)</f>
        <v>0</v>
      </c>
      <c r="AA88" s="715"/>
      <c r="AB88" s="167" t="s">
        <v>43</v>
      </c>
      <c r="AC88" s="167"/>
      <c r="AD88" s="25"/>
      <c r="AE88" s="25"/>
      <c r="AF88" s="25"/>
      <c r="AG88" s="25"/>
      <c r="AH88" s="712">
        <f>SUM(AH86:AK87)</f>
        <v>0</v>
      </c>
      <c r="AI88" s="713"/>
      <c r="AJ88" s="713"/>
      <c r="AK88" s="714"/>
      <c r="AL88" s="619"/>
      <c r="AM88" s="620"/>
      <c r="AN88" s="621"/>
      <c r="AO88" s="622"/>
      <c r="AP88" s="623"/>
      <c r="AQ88" s="624"/>
      <c r="AR88" s="627"/>
      <c r="AS88" s="628"/>
      <c r="AT88" s="628"/>
      <c r="AU88" s="554"/>
      <c r="AV88" s="555"/>
      <c r="AW88" s="7"/>
      <c r="AX88" s="7"/>
    </row>
    <row r="89" spans="2:50" ht="13.5" customHeight="1">
      <c r="B89" s="689"/>
      <c r="C89" s="692"/>
      <c r="D89" s="693"/>
      <c r="E89" s="638" t="s">
        <v>52</v>
      </c>
      <c r="F89" s="543"/>
      <c r="G89" s="543"/>
      <c r="H89" s="544"/>
      <c r="I89" s="146" t="s">
        <v>54</v>
      </c>
      <c r="J89" s="28"/>
      <c r="K89" s="28"/>
      <c r="L89" s="28"/>
      <c r="M89" s="28"/>
      <c r="N89" s="28"/>
      <c r="O89" s="28"/>
      <c r="P89" s="28"/>
      <c r="Q89" s="147"/>
      <c r="R89" s="641">
        <f>$R$34</f>
        <v>1320</v>
      </c>
      <c r="S89" s="641"/>
      <c r="T89" s="28" t="s">
        <v>53</v>
      </c>
      <c r="U89" s="28"/>
      <c r="V89" s="29"/>
      <c r="W89" s="29"/>
      <c r="X89" s="29"/>
      <c r="Y89" s="29"/>
      <c r="Z89" s="29"/>
      <c r="AA89" s="29"/>
      <c r="AB89" s="28">
        <v>1</v>
      </c>
      <c r="AC89" s="251" t="s">
        <v>51</v>
      </c>
      <c r="AD89" s="28"/>
      <c r="AE89" s="28"/>
      <c r="AF89" s="28"/>
      <c r="AG89" s="28"/>
      <c r="AH89" s="640">
        <f>IF($AH$22+$AH$23=0,0,R89*AB89)</f>
        <v>1320</v>
      </c>
      <c r="AI89" s="641"/>
      <c r="AJ89" s="641"/>
      <c r="AK89" s="642"/>
      <c r="AL89" s="617" t="s">
        <v>52</v>
      </c>
      <c r="AM89" s="618"/>
      <c r="AN89" s="594">
        <f>AN56</f>
        <v>6</v>
      </c>
      <c r="AO89" s="595"/>
      <c r="AP89" s="613" t="s">
        <v>45</v>
      </c>
      <c r="AQ89" s="614"/>
      <c r="AR89" s="625">
        <f>AN89*X91/1000</f>
        <v>0.11745882352941177</v>
      </c>
      <c r="AS89" s="626"/>
      <c r="AT89" s="626"/>
      <c r="AU89" s="552" t="s">
        <v>42</v>
      </c>
      <c r="AV89" s="553"/>
      <c r="AW89" s="7"/>
      <c r="AX89" s="7"/>
    </row>
    <row r="90" spans="2:50" ht="13.5" customHeight="1">
      <c r="B90" s="689"/>
      <c r="C90" s="692"/>
      <c r="D90" s="693"/>
      <c r="E90" s="545"/>
      <c r="F90" s="546"/>
      <c r="G90" s="546"/>
      <c r="H90" s="547"/>
      <c r="I90" s="170" t="s">
        <v>47</v>
      </c>
      <c r="J90" s="23"/>
      <c r="K90" s="23"/>
      <c r="L90" s="23"/>
      <c r="M90" s="23"/>
      <c r="N90" s="23"/>
      <c r="O90" s="23"/>
      <c r="P90" s="23"/>
      <c r="Q90" s="171"/>
      <c r="R90" s="706">
        <f>$R$35</f>
        <v>440</v>
      </c>
      <c r="S90" s="707"/>
      <c r="T90" s="23" t="s">
        <v>48</v>
      </c>
      <c r="U90" s="23"/>
      <c r="V90" s="23"/>
      <c r="W90" s="23"/>
      <c r="X90" s="657">
        <f>IF('様式11-5'!U$1="LPG",P$22,0)</f>
        <v>19.576470588235296</v>
      </c>
      <c r="Y90" s="644"/>
      <c r="Z90" s="23" t="s">
        <v>46</v>
      </c>
      <c r="AA90" s="23"/>
      <c r="AB90" s="23"/>
      <c r="AC90" s="24"/>
      <c r="AD90" s="23"/>
      <c r="AE90" s="23"/>
      <c r="AF90" s="23"/>
      <c r="AG90" s="23"/>
      <c r="AH90" s="558">
        <f>R90*X90</f>
        <v>8613.6470588235297</v>
      </c>
      <c r="AI90" s="559"/>
      <c r="AJ90" s="559"/>
      <c r="AK90" s="560"/>
      <c r="AL90" s="617"/>
      <c r="AM90" s="618"/>
      <c r="AN90" s="594"/>
      <c r="AO90" s="595"/>
      <c r="AP90" s="613"/>
      <c r="AQ90" s="614"/>
      <c r="AR90" s="625"/>
      <c r="AS90" s="626"/>
      <c r="AT90" s="626"/>
      <c r="AU90" s="552"/>
      <c r="AV90" s="553"/>
      <c r="AW90" s="7"/>
      <c r="AX90" s="7"/>
    </row>
    <row r="91" spans="2:50" ht="13.5" customHeight="1" thickBot="1">
      <c r="B91" s="689"/>
      <c r="C91" s="694"/>
      <c r="D91" s="695"/>
      <c r="E91" s="708" t="s">
        <v>44</v>
      </c>
      <c r="F91" s="709"/>
      <c r="G91" s="709"/>
      <c r="H91" s="710"/>
      <c r="I91" s="163"/>
      <c r="J91" s="25"/>
      <c r="K91" s="25"/>
      <c r="L91" s="25"/>
      <c r="M91" s="25"/>
      <c r="N91" s="25"/>
      <c r="O91" s="25"/>
      <c r="P91" s="25"/>
      <c r="Q91" s="164"/>
      <c r="R91" s="254"/>
      <c r="S91" s="254"/>
      <c r="T91" s="25"/>
      <c r="U91" s="25"/>
      <c r="V91" s="25"/>
      <c r="W91" s="165"/>
      <c r="X91" s="716">
        <f>SUM(X90:Y90)</f>
        <v>19.576470588235296</v>
      </c>
      <c r="Y91" s="716"/>
      <c r="Z91" s="25" t="s">
        <v>43</v>
      </c>
      <c r="AA91" s="25"/>
      <c r="AB91" s="25"/>
      <c r="AC91" s="26"/>
      <c r="AD91" s="25"/>
      <c r="AE91" s="25"/>
      <c r="AF91" s="25"/>
      <c r="AG91" s="25"/>
      <c r="AH91" s="712">
        <f>SUM(AH89:AK90)</f>
        <v>9933.6470588235297</v>
      </c>
      <c r="AI91" s="713"/>
      <c r="AJ91" s="713"/>
      <c r="AK91" s="714"/>
      <c r="AL91" s="619"/>
      <c r="AM91" s="620"/>
      <c r="AN91" s="621"/>
      <c r="AO91" s="622"/>
      <c r="AP91" s="623"/>
      <c r="AQ91" s="624"/>
      <c r="AR91" s="627"/>
      <c r="AS91" s="628"/>
      <c r="AT91" s="628"/>
      <c r="AU91" s="554"/>
      <c r="AV91" s="555"/>
      <c r="AW91" s="7"/>
      <c r="AX91" s="7"/>
    </row>
    <row r="92" spans="2:50" ht="13.5" customHeight="1">
      <c r="B92" s="696" t="s">
        <v>80</v>
      </c>
      <c r="C92" s="697"/>
      <c r="D92" s="697"/>
      <c r="E92" s="698" t="s">
        <v>2</v>
      </c>
      <c r="F92" s="697"/>
      <c r="G92" s="697"/>
      <c r="H92" s="699"/>
      <c r="I92" s="698" t="s">
        <v>79</v>
      </c>
      <c r="J92" s="697"/>
      <c r="K92" s="697"/>
      <c r="L92" s="697"/>
      <c r="M92" s="697"/>
      <c r="N92" s="697"/>
      <c r="O92" s="697"/>
      <c r="P92" s="697"/>
      <c r="Q92" s="699"/>
      <c r="R92" s="698" t="s">
        <v>78</v>
      </c>
      <c r="S92" s="697"/>
      <c r="T92" s="697"/>
      <c r="U92" s="697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9"/>
      <c r="AH92" s="698" t="s">
        <v>77</v>
      </c>
      <c r="AI92" s="697"/>
      <c r="AJ92" s="697"/>
      <c r="AK92" s="700"/>
      <c r="AL92" s="605" t="s">
        <v>2</v>
      </c>
      <c r="AM92" s="606"/>
      <c r="AN92" s="680" t="s">
        <v>76</v>
      </c>
      <c r="AO92" s="681"/>
      <c r="AP92" s="681"/>
      <c r="AQ92" s="682"/>
      <c r="AR92" s="680" t="s">
        <v>75</v>
      </c>
      <c r="AS92" s="681"/>
      <c r="AT92" s="681"/>
      <c r="AU92" s="681"/>
      <c r="AV92" s="683"/>
      <c r="AW92" s="7"/>
      <c r="AX92" s="7"/>
    </row>
    <row r="93" spans="2:50" ht="13.5" customHeight="1">
      <c r="B93" s="688" t="s">
        <v>125</v>
      </c>
      <c r="C93" s="690" t="s">
        <v>74</v>
      </c>
      <c r="D93" s="691"/>
      <c r="E93" s="542" t="s">
        <v>73</v>
      </c>
      <c r="F93" s="543"/>
      <c r="G93" s="543"/>
      <c r="H93" s="544"/>
      <c r="I93" s="146" t="s">
        <v>54</v>
      </c>
      <c r="J93" s="28"/>
      <c r="K93" s="28"/>
      <c r="L93" s="28"/>
      <c r="M93" s="28"/>
      <c r="N93" s="28"/>
      <c r="O93" s="28"/>
      <c r="P93" s="28"/>
      <c r="Q93" s="147"/>
      <c r="R93" s="548">
        <f>IF($AJ$16+$AJ$18+$AJ$20=0,0,料金単価!$C$3)</f>
        <v>1285.8699999999999</v>
      </c>
      <c r="S93" s="548"/>
      <c r="T93" s="28" t="s">
        <v>71</v>
      </c>
      <c r="U93" s="28"/>
      <c r="V93" s="28"/>
      <c r="W93" s="549">
        <f>$W$27</f>
        <v>3.2329411764705891</v>
      </c>
      <c r="X93" s="549"/>
      <c r="Y93" s="28" t="s">
        <v>70</v>
      </c>
      <c r="Z93" s="28"/>
      <c r="AA93" s="28">
        <v>1</v>
      </c>
      <c r="AB93" s="28" t="s">
        <v>69</v>
      </c>
      <c r="AC93" s="28"/>
      <c r="AD93" s="36">
        <v>0.85</v>
      </c>
      <c r="AE93" s="28" t="s">
        <v>68</v>
      </c>
      <c r="AF93" s="28"/>
      <c r="AG93" s="28"/>
      <c r="AH93" s="640">
        <f>R93*W93*AA93*AD93</f>
        <v>3533.570760000001</v>
      </c>
      <c r="AI93" s="641"/>
      <c r="AJ93" s="641"/>
      <c r="AK93" s="642"/>
      <c r="AL93" s="633" t="s">
        <v>0</v>
      </c>
      <c r="AM93" s="634"/>
      <c r="AN93" s="659">
        <f>AN27</f>
        <v>0.44900000000000001</v>
      </c>
      <c r="AO93" s="660"/>
      <c r="AP93" s="661" t="s">
        <v>72</v>
      </c>
      <c r="AQ93" s="662"/>
      <c r="AR93" s="663">
        <f>AN93*AB96/1000</f>
        <v>0.44544789232941179</v>
      </c>
      <c r="AS93" s="664"/>
      <c r="AT93" s="664"/>
      <c r="AU93" s="661" t="s">
        <v>42</v>
      </c>
      <c r="AV93" s="674"/>
      <c r="AW93" s="7"/>
      <c r="AX93" s="7"/>
    </row>
    <row r="94" spans="2:50" ht="13.5" customHeight="1">
      <c r="B94" s="689"/>
      <c r="C94" s="692"/>
      <c r="D94" s="693"/>
      <c r="E94" s="545"/>
      <c r="F94" s="546"/>
      <c r="G94" s="546"/>
      <c r="H94" s="547"/>
      <c r="I94" s="677" t="s">
        <v>47</v>
      </c>
      <c r="J94" s="618"/>
      <c r="K94" s="678"/>
      <c r="L94" s="679" t="s">
        <v>203</v>
      </c>
      <c r="M94" s="618"/>
      <c r="N94" s="618"/>
      <c r="O94" s="678"/>
      <c r="P94" s="643" t="s">
        <v>197</v>
      </c>
      <c r="Q94" s="646"/>
      <c r="R94" s="34" t="s">
        <v>157</v>
      </c>
      <c r="S94" s="33">
        <f>IF(P94="夏季",料金単価!$D$3,料金単価!$E$3)</f>
        <v>12.63</v>
      </c>
      <c r="T94" s="148" t="s">
        <v>62</v>
      </c>
      <c r="U94" s="149">
        <f>$U$28</f>
        <v>7.29</v>
      </c>
      <c r="V94" s="148" t="s">
        <v>62</v>
      </c>
      <c r="W94" s="150">
        <f>$W$28</f>
        <v>3.45</v>
      </c>
      <c r="X94" s="151" t="s">
        <v>64</v>
      </c>
      <c r="Y94" s="24" t="s">
        <v>61</v>
      </c>
      <c r="Z94" s="151"/>
      <c r="AA94" s="32"/>
      <c r="AB94" s="702">
        <f>V$17+V$19+V$21</f>
        <v>992.0888470588236</v>
      </c>
      <c r="AC94" s="702"/>
      <c r="AD94" s="24" t="s">
        <v>63</v>
      </c>
      <c r="AE94" s="24"/>
      <c r="AF94" s="24"/>
      <c r="AG94" s="152"/>
      <c r="AH94" s="648">
        <f>(S94+U94+W94)*AB94</f>
        <v>23185.116355764709</v>
      </c>
      <c r="AI94" s="649"/>
      <c r="AJ94" s="649"/>
      <c r="AK94" s="650"/>
      <c r="AL94" s="617"/>
      <c r="AM94" s="618"/>
      <c r="AN94" s="594"/>
      <c r="AO94" s="595"/>
      <c r="AP94" s="613"/>
      <c r="AQ94" s="614"/>
      <c r="AR94" s="625"/>
      <c r="AS94" s="626"/>
      <c r="AT94" s="626"/>
      <c r="AU94" s="613"/>
      <c r="AV94" s="675"/>
      <c r="AW94" s="7"/>
      <c r="AX94" s="7"/>
    </row>
    <row r="95" spans="2:50" ht="13.5" customHeight="1">
      <c r="B95" s="689"/>
      <c r="C95" s="692"/>
      <c r="D95" s="693"/>
      <c r="E95" s="545"/>
      <c r="F95" s="546"/>
      <c r="G95" s="546"/>
      <c r="H95" s="547"/>
      <c r="I95" s="255"/>
      <c r="J95" s="252"/>
      <c r="K95" s="252"/>
      <c r="L95" s="259"/>
      <c r="M95" s="259"/>
      <c r="N95" s="259"/>
      <c r="O95" s="259"/>
      <c r="P95" s="259"/>
      <c r="Q95" s="256"/>
      <c r="R95" s="31"/>
      <c r="S95" s="157" t="s">
        <v>60</v>
      </c>
      <c r="T95" s="158"/>
      <c r="U95" s="159" t="s">
        <v>59</v>
      </c>
      <c r="V95" s="158"/>
      <c r="W95" s="160" t="s">
        <v>58</v>
      </c>
      <c r="X95" s="161"/>
      <c r="Y95" s="30"/>
      <c r="Z95" s="161"/>
      <c r="AA95" s="51"/>
      <c r="AB95" s="52"/>
      <c r="AC95" s="52"/>
      <c r="AD95" s="30"/>
      <c r="AE95" s="30"/>
      <c r="AF95" s="30"/>
      <c r="AG95" s="253"/>
      <c r="AH95" s="703"/>
      <c r="AI95" s="704"/>
      <c r="AJ95" s="704"/>
      <c r="AK95" s="705"/>
      <c r="AL95" s="617"/>
      <c r="AM95" s="618"/>
      <c r="AN95" s="594"/>
      <c r="AO95" s="595"/>
      <c r="AP95" s="613"/>
      <c r="AQ95" s="614"/>
      <c r="AR95" s="625"/>
      <c r="AS95" s="626"/>
      <c r="AT95" s="626"/>
      <c r="AU95" s="613"/>
      <c r="AV95" s="675"/>
      <c r="AW95" s="7"/>
      <c r="AX95" s="7"/>
    </row>
    <row r="96" spans="2:50" ht="13.5" customHeight="1">
      <c r="B96" s="689"/>
      <c r="C96" s="694"/>
      <c r="D96" s="695"/>
      <c r="E96" s="708" t="s">
        <v>44</v>
      </c>
      <c r="F96" s="709"/>
      <c r="G96" s="709"/>
      <c r="H96" s="710"/>
      <c r="I96" s="163"/>
      <c r="J96" s="25"/>
      <c r="K96" s="25"/>
      <c r="L96" s="25"/>
      <c r="M96" s="25"/>
      <c r="N96" s="25"/>
      <c r="O96" s="25"/>
      <c r="P96" s="25"/>
      <c r="Q96" s="164"/>
      <c r="R96" s="254"/>
      <c r="S96" s="254"/>
      <c r="T96" s="25"/>
      <c r="U96" s="25"/>
      <c r="V96" s="25"/>
      <c r="W96" s="165"/>
      <c r="X96" s="260"/>
      <c r="Y96" s="260"/>
      <c r="Z96" s="167"/>
      <c r="AA96" s="168"/>
      <c r="AB96" s="711">
        <f>SUM(AB94:AC94)</f>
        <v>992.0888470588236</v>
      </c>
      <c r="AC96" s="711"/>
      <c r="AD96" s="169" t="s">
        <v>57</v>
      </c>
      <c r="AE96" s="25"/>
      <c r="AF96" s="25"/>
      <c r="AG96" s="25"/>
      <c r="AH96" s="712">
        <f>SUM(AH93:AK94)</f>
        <v>26718.687115764711</v>
      </c>
      <c r="AI96" s="713"/>
      <c r="AJ96" s="713"/>
      <c r="AK96" s="714"/>
      <c r="AL96" s="617"/>
      <c r="AM96" s="618"/>
      <c r="AN96" s="594"/>
      <c r="AO96" s="595"/>
      <c r="AP96" s="613"/>
      <c r="AQ96" s="614"/>
      <c r="AR96" s="625"/>
      <c r="AS96" s="626"/>
      <c r="AT96" s="626"/>
      <c r="AU96" s="613"/>
      <c r="AV96" s="675"/>
      <c r="AW96" s="7"/>
      <c r="AX96" s="7"/>
    </row>
    <row r="97" spans="2:50" ht="13.5" customHeight="1">
      <c r="B97" s="689"/>
      <c r="C97" s="690" t="s">
        <v>56</v>
      </c>
      <c r="D97" s="691"/>
      <c r="E97" s="638" t="s">
        <v>55</v>
      </c>
      <c r="F97" s="543"/>
      <c r="G97" s="543"/>
      <c r="H97" s="544"/>
      <c r="I97" s="146" t="s">
        <v>54</v>
      </c>
      <c r="J97" s="28"/>
      <c r="K97" s="28"/>
      <c r="L97" s="28"/>
      <c r="M97" s="28"/>
      <c r="N97" s="28"/>
      <c r="O97" s="28"/>
      <c r="P97" s="28"/>
      <c r="Q97" s="147"/>
      <c r="R97" s="37" t="s">
        <v>111</v>
      </c>
      <c r="S97" s="639">
        <f>IF('様式11-5'!U$1="LPG",0,IF(V$23&lt;50,料金単価!$C$7,(IF(V$23&lt;100,料金単価!$C$8,IF($V$23&lt;250,料金単価!$C$9,IF($V$23&lt;500,料金単価!$C$10,IF($V$23&lt;800,料金単価!$C$11,料金単価!$C$12)))))))</f>
        <v>0</v>
      </c>
      <c r="T97" s="639"/>
      <c r="U97" s="28" t="s">
        <v>53</v>
      </c>
      <c r="V97" s="54"/>
      <c r="W97" s="29"/>
      <c r="X97" s="29"/>
      <c r="Y97" s="29"/>
      <c r="Z97" s="29"/>
      <c r="AA97" s="29"/>
      <c r="AB97" s="28">
        <v>1</v>
      </c>
      <c r="AC97" s="251" t="s">
        <v>51</v>
      </c>
      <c r="AD97" s="28"/>
      <c r="AE97" s="28"/>
      <c r="AF97" s="28"/>
      <c r="AG97" s="28"/>
      <c r="AH97" s="640">
        <f>IF($AH$22+$AH$23=0,0,S97*AB97)</f>
        <v>0</v>
      </c>
      <c r="AI97" s="641"/>
      <c r="AJ97" s="641"/>
      <c r="AK97" s="642"/>
      <c r="AL97" s="658" t="s">
        <v>55</v>
      </c>
      <c r="AM97" s="634"/>
      <c r="AN97" s="659">
        <f>AN31</f>
        <v>2.29</v>
      </c>
      <c r="AO97" s="660"/>
      <c r="AP97" s="661" t="s">
        <v>45</v>
      </c>
      <c r="AQ97" s="662"/>
      <c r="AR97" s="663">
        <f>AN97*Z99/1000</f>
        <v>0</v>
      </c>
      <c r="AS97" s="664"/>
      <c r="AT97" s="664"/>
      <c r="AU97" s="550" t="s">
        <v>42</v>
      </c>
      <c r="AV97" s="551"/>
      <c r="AW97" s="7"/>
      <c r="AX97" s="7"/>
    </row>
    <row r="98" spans="2:50" ht="13.5" customHeight="1">
      <c r="B98" s="689"/>
      <c r="C98" s="692"/>
      <c r="D98" s="693"/>
      <c r="E98" s="545"/>
      <c r="F98" s="546"/>
      <c r="G98" s="546"/>
      <c r="H98" s="547"/>
      <c r="I98" s="170" t="s">
        <v>47</v>
      </c>
      <c r="J98" s="23"/>
      <c r="K98" s="23"/>
      <c r="L98" s="23"/>
      <c r="M98" s="23"/>
      <c r="N98" s="23"/>
      <c r="O98" s="23"/>
      <c r="P98" s="23" t="s">
        <v>120</v>
      </c>
      <c r="Q98" s="171"/>
      <c r="R98" s="34" t="s">
        <v>111</v>
      </c>
      <c r="S98" s="556">
        <f>IF(P98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98" s="556"/>
      <c r="U98" s="23" t="s">
        <v>48</v>
      </c>
      <c r="V98" s="172" t="s">
        <v>110</v>
      </c>
      <c r="W98" s="173">
        <f>W87</f>
        <v>14.55</v>
      </c>
      <c r="X98" s="258" t="s">
        <v>112</v>
      </c>
      <c r="Y98" s="259" t="s">
        <v>113</v>
      </c>
      <c r="Z98" s="665">
        <f>IF('様式11-5'!U$1="LPG",0,V$23)</f>
        <v>0</v>
      </c>
      <c r="AA98" s="665"/>
      <c r="AB98" s="23" t="s">
        <v>46</v>
      </c>
      <c r="AC98" s="23"/>
      <c r="AD98" s="23"/>
      <c r="AE98" s="23"/>
      <c r="AF98" s="23"/>
      <c r="AG98" s="23"/>
      <c r="AH98" s="558">
        <f>(S98+W98)*Z98</f>
        <v>0</v>
      </c>
      <c r="AI98" s="559"/>
      <c r="AJ98" s="559"/>
      <c r="AK98" s="560"/>
      <c r="AL98" s="617"/>
      <c r="AM98" s="618"/>
      <c r="AN98" s="594"/>
      <c r="AO98" s="595"/>
      <c r="AP98" s="613"/>
      <c r="AQ98" s="614"/>
      <c r="AR98" s="625"/>
      <c r="AS98" s="626"/>
      <c r="AT98" s="626"/>
      <c r="AU98" s="552"/>
      <c r="AV98" s="553"/>
      <c r="AW98" s="7"/>
      <c r="AX98" s="7"/>
    </row>
    <row r="99" spans="2:50" ht="13.5" customHeight="1">
      <c r="B99" s="689"/>
      <c r="C99" s="692"/>
      <c r="D99" s="693"/>
      <c r="E99" s="708" t="s">
        <v>44</v>
      </c>
      <c r="F99" s="709"/>
      <c r="G99" s="709"/>
      <c r="H99" s="710"/>
      <c r="I99" s="163"/>
      <c r="J99" s="25"/>
      <c r="K99" s="25"/>
      <c r="L99" s="25"/>
      <c r="M99" s="25"/>
      <c r="N99" s="25"/>
      <c r="O99" s="25"/>
      <c r="P99" s="25"/>
      <c r="Q99" s="164"/>
      <c r="R99" s="254"/>
      <c r="S99" s="254"/>
      <c r="T99" s="25"/>
      <c r="U99" s="25"/>
      <c r="V99" s="25"/>
      <c r="W99" s="165"/>
      <c r="X99" s="260"/>
      <c r="Y99" s="260"/>
      <c r="Z99" s="715">
        <f>SUM(Z98:Z98)</f>
        <v>0</v>
      </c>
      <c r="AA99" s="715"/>
      <c r="AB99" s="167" t="s">
        <v>43</v>
      </c>
      <c r="AC99" s="167"/>
      <c r="AD99" s="25"/>
      <c r="AE99" s="25"/>
      <c r="AF99" s="25"/>
      <c r="AG99" s="25"/>
      <c r="AH99" s="712">
        <f>SUM(AH97:AK98)</f>
        <v>0</v>
      </c>
      <c r="AI99" s="713"/>
      <c r="AJ99" s="713"/>
      <c r="AK99" s="714"/>
      <c r="AL99" s="619"/>
      <c r="AM99" s="620"/>
      <c r="AN99" s="621"/>
      <c r="AO99" s="622"/>
      <c r="AP99" s="623"/>
      <c r="AQ99" s="624"/>
      <c r="AR99" s="627"/>
      <c r="AS99" s="628"/>
      <c r="AT99" s="628"/>
      <c r="AU99" s="554"/>
      <c r="AV99" s="555"/>
      <c r="AW99" s="7"/>
      <c r="AX99" s="7"/>
    </row>
    <row r="100" spans="2:50" ht="13.5" customHeight="1">
      <c r="B100" s="689"/>
      <c r="C100" s="692"/>
      <c r="D100" s="693"/>
      <c r="E100" s="638" t="s">
        <v>52</v>
      </c>
      <c r="F100" s="543"/>
      <c r="G100" s="543"/>
      <c r="H100" s="544"/>
      <c r="I100" s="146" t="s">
        <v>54</v>
      </c>
      <c r="J100" s="28"/>
      <c r="K100" s="28"/>
      <c r="L100" s="28"/>
      <c r="M100" s="28"/>
      <c r="N100" s="28"/>
      <c r="O100" s="28"/>
      <c r="P100" s="28"/>
      <c r="Q100" s="147"/>
      <c r="R100" s="641">
        <f>$R$34</f>
        <v>1320</v>
      </c>
      <c r="S100" s="641"/>
      <c r="T100" s="28" t="s">
        <v>53</v>
      </c>
      <c r="U100" s="28"/>
      <c r="V100" s="29"/>
      <c r="W100" s="29"/>
      <c r="X100" s="29"/>
      <c r="Y100" s="29"/>
      <c r="Z100" s="29"/>
      <c r="AA100" s="29"/>
      <c r="AB100" s="28">
        <v>1</v>
      </c>
      <c r="AC100" s="251" t="s">
        <v>51</v>
      </c>
      <c r="AD100" s="28"/>
      <c r="AE100" s="28"/>
      <c r="AF100" s="28"/>
      <c r="AG100" s="28"/>
      <c r="AH100" s="640">
        <f>IF($AH$22+$AH$23=0,0,R100*AB100)</f>
        <v>1320</v>
      </c>
      <c r="AI100" s="641"/>
      <c r="AJ100" s="641"/>
      <c r="AK100" s="642"/>
      <c r="AL100" s="617" t="s">
        <v>52</v>
      </c>
      <c r="AM100" s="618"/>
      <c r="AN100" s="594">
        <f>AN34</f>
        <v>6</v>
      </c>
      <c r="AO100" s="595"/>
      <c r="AP100" s="613" t="s">
        <v>45</v>
      </c>
      <c r="AQ100" s="614"/>
      <c r="AR100" s="625">
        <f>AN100*X102/1000</f>
        <v>0</v>
      </c>
      <c r="AS100" s="626"/>
      <c r="AT100" s="626"/>
      <c r="AU100" s="552" t="s">
        <v>42</v>
      </c>
      <c r="AV100" s="553"/>
      <c r="AW100" s="7"/>
      <c r="AX100" s="7"/>
    </row>
    <row r="101" spans="2:50" ht="13.5" customHeight="1">
      <c r="B101" s="689"/>
      <c r="C101" s="692"/>
      <c r="D101" s="693"/>
      <c r="E101" s="545"/>
      <c r="F101" s="546"/>
      <c r="G101" s="546"/>
      <c r="H101" s="547"/>
      <c r="I101" s="170" t="s">
        <v>47</v>
      </c>
      <c r="J101" s="23"/>
      <c r="K101" s="23"/>
      <c r="L101" s="23"/>
      <c r="M101" s="23"/>
      <c r="N101" s="23"/>
      <c r="O101" s="23"/>
      <c r="P101" s="23"/>
      <c r="Q101" s="171"/>
      <c r="R101" s="706">
        <f>$R$35</f>
        <v>440</v>
      </c>
      <c r="S101" s="707"/>
      <c r="T101" s="23" t="s">
        <v>48</v>
      </c>
      <c r="U101" s="23"/>
      <c r="V101" s="23"/>
      <c r="W101" s="23"/>
      <c r="X101" s="657">
        <f>IF('様式11-5'!U$1="LPG",V$23,0)</f>
        <v>0</v>
      </c>
      <c r="Y101" s="644"/>
      <c r="Z101" s="23" t="s">
        <v>46</v>
      </c>
      <c r="AA101" s="23"/>
      <c r="AB101" s="23"/>
      <c r="AC101" s="24"/>
      <c r="AD101" s="23"/>
      <c r="AE101" s="23"/>
      <c r="AF101" s="23"/>
      <c r="AG101" s="23"/>
      <c r="AH101" s="558">
        <f>R101*X101</f>
        <v>0</v>
      </c>
      <c r="AI101" s="559"/>
      <c r="AJ101" s="559"/>
      <c r="AK101" s="560"/>
      <c r="AL101" s="617"/>
      <c r="AM101" s="618"/>
      <c r="AN101" s="594"/>
      <c r="AO101" s="595"/>
      <c r="AP101" s="613"/>
      <c r="AQ101" s="614"/>
      <c r="AR101" s="625"/>
      <c r="AS101" s="626"/>
      <c r="AT101" s="626"/>
      <c r="AU101" s="552"/>
      <c r="AV101" s="553"/>
      <c r="AW101" s="7"/>
      <c r="AX101" s="7"/>
    </row>
    <row r="102" spans="2:50" ht="13.5" customHeight="1" thickBot="1">
      <c r="B102" s="689"/>
      <c r="C102" s="694"/>
      <c r="D102" s="695"/>
      <c r="E102" s="708" t="s">
        <v>44</v>
      </c>
      <c r="F102" s="709"/>
      <c r="G102" s="709"/>
      <c r="H102" s="710"/>
      <c r="I102" s="163"/>
      <c r="J102" s="25"/>
      <c r="K102" s="25"/>
      <c r="L102" s="25"/>
      <c r="M102" s="25"/>
      <c r="N102" s="25"/>
      <c r="O102" s="25"/>
      <c r="P102" s="25"/>
      <c r="Q102" s="164"/>
      <c r="R102" s="254"/>
      <c r="S102" s="254"/>
      <c r="T102" s="25"/>
      <c r="U102" s="25"/>
      <c r="V102" s="25"/>
      <c r="W102" s="165"/>
      <c r="X102" s="716">
        <f>SUM(X101:Y101)</f>
        <v>0</v>
      </c>
      <c r="Y102" s="716"/>
      <c r="Z102" s="25" t="s">
        <v>43</v>
      </c>
      <c r="AA102" s="25"/>
      <c r="AB102" s="25"/>
      <c r="AC102" s="26"/>
      <c r="AD102" s="25"/>
      <c r="AE102" s="25"/>
      <c r="AF102" s="25"/>
      <c r="AG102" s="25"/>
      <c r="AH102" s="712">
        <f>SUM(AH100:AK101)</f>
        <v>1320</v>
      </c>
      <c r="AI102" s="713"/>
      <c r="AJ102" s="713"/>
      <c r="AK102" s="714"/>
      <c r="AL102" s="619"/>
      <c r="AM102" s="620"/>
      <c r="AN102" s="621"/>
      <c r="AO102" s="622"/>
      <c r="AP102" s="623"/>
      <c r="AQ102" s="624"/>
      <c r="AR102" s="627"/>
      <c r="AS102" s="628"/>
      <c r="AT102" s="628"/>
      <c r="AU102" s="554"/>
      <c r="AV102" s="555"/>
      <c r="AW102" s="7"/>
      <c r="AX102" s="7"/>
    </row>
    <row r="103" spans="2:50" ht="13.5" customHeight="1">
      <c r="B103" s="696" t="s">
        <v>80</v>
      </c>
      <c r="C103" s="697"/>
      <c r="D103" s="697"/>
      <c r="E103" s="698" t="s">
        <v>2</v>
      </c>
      <c r="F103" s="697"/>
      <c r="G103" s="697"/>
      <c r="H103" s="699"/>
      <c r="I103" s="698" t="s">
        <v>79</v>
      </c>
      <c r="J103" s="697"/>
      <c r="K103" s="697"/>
      <c r="L103" s="697"/>
      <c r="M103" s="697"/>
      <c r="N103" s="697"/>
      <c r="O103" s="697"/>
      <c r="P103" s="697"/>
      <c r="Q103" s="699"/>
      <c r="R103" s="698" t="s">
        <v>78</v>
      </c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9"/>
      <c r="AH103" s="698" t="s">
        <v>77</v>
      </c>
      <c r="AI103" s="697"/>
      <c r="AJ103" s="697"/>
      <c r="AK103" s="700"/>
      <c r="AL103" s="605" t="s">
        <v>2</v>
      </c>
      <c r="AM103" s="606"/>
      <c r="AN103" s="680" t="s">
        <v>76</v>
      </c>
      <c r="AO103" s="681"/>
      <c r="AP103" s="681"/>
      <c r="AQ103" s="682"/>
      <c r="AR103" s="680" t="s">
        <v>75</v>
      </c>
      <c r="AS103" s="681"/>
      <c r="AT103" s="681"/>
      <c r="AU103" s="681"/>
      <c r="AV103" s="683"/>
      <c r="AW103" s="7"/>
      <c r="AX103" s="7"/>
    </row>
    <row r="104" spans="2:50" ht="13.5" customHeight="1">
      <c r="B104" s="688" t="s">
        <v>126</v>
      </c>
      <c r="C104" s="690" t="s">
        <v>74</v>
      </c>
      <c r="D104" s="691"/>
      <c r="E104" s="542" t="s">
        <v>73</v>
      </c>
      <c r="F104" s="543"/>
      <c r="G104" s="543"/>
      <c r="H104" s="544"/>
      <c r="I104" s="146" t="s">
        <v>54</v>
      </c>
      <c r="J104" s="28"/>
      <c r="K104" s="28"/>
      <c r="L104" s="28"/>
      <c r="M104" s="28"/>
      <c r="N104" s="28"/>
      <c r="O104" s="28"/>
      <c r="P104" s="28"/>
      <c r="Q104" s="147"/>
      <c r="R104" s="548">
        <f>IF($AJ$16+$AJ$18+$AJ$20=0,0,料金単価!$C$3)</f>
        <v>1285.8699999999999</v>
      </c>
      <c r="S104" s="548"/>
      <c r="T104" s="28" t="s">
        <v>71</v>
      </c>
      <c r="U104" s="28"/>
      <c r="V104" s="28"/>
      <c r="W104" s="549">
        <f>$W$27</f>
        <v>3.2329411764705891</v>
      </c>
      <c r="X104" s="549"/>
      <c r="Y104" s="28" t="s">
        <v>70</v>
      </c>
      <c r="Z104" s="28"/>
      <c r="AA104" s="28">
        <v>1</v>
      </c>
      <c r="AB104" s="28" t="s">
        <v>69</v>
      </c>
      <c r="AC104" s="28"/>
      <c r="AD104" s="36">
        <v>0.85</v>
      </c>
      <c r="AE104" s="28" t="s">
        <v>68</v>
      </c>
      <c r="AF104" s="28"/>
      <c r="AG104" s="28"/>
      <c r="AH104" s="640">
        <f>R104*W104*AA104*AD104</f>
        <v>3533.570760000001</v>
      </c>
      <c r="AI104" s="641"/>
      <c r="AJ104" s="641"/>
      <c r="AK104" s="642"/>
      <c r="AL104" s="633" t="s">
        <v>0</v>
      </c>
      <c r="AM104" s="634"/>
      <c r="AN104" s="659">
        <f>AN27</f>
        <v>0.44900000000000001</v>
      </c>
      <c r="AO104" s="660"/>
      <c r="AP104" s="661" t="s">
        <v>72</v>
      </c>
      <c r="AQ104" s="662"/>
      <c r="AR104" s="663">
        <f>AN104*AB107/1000</f>
        <v>0.54973725967058829</v>
      </c>
      <c r="AS104" s="664"/>
      <c r="AT104" s="664"/>
      <c r="AU104" s="661" t="s">
        <v>42</v>
      </c>
      <c r="AV104" s="674"/>
      <c r="AW104" s="7"/>
      <c r="AX104" s="7"/>
    </row>
    <row r="105" spans="2:50" ht="13.5" customHeight="1">
      <c r="B105" s="689"/>
      <c r="C105" s="692"/>
      <c r="D105" s="693"/>
      <c r="E105" s="545"/>
      <c r="F105" s="546"/>
      <c r="G105" s="546"/>
      <c r="H105" s="547"/>
      <c r="I105" s="677" t="s">
        <v>47</v>
      </c>
      <c r="J105" s="618"/>
      <c r="K105" s="678"/>
      <c r="L105" s="679" t="s">
        <v>203</v>
      </c>
      <c r="M105" s="618"/>
      <c r="N105" s="618"/>
      <c r="O105" s="678"/>
      <c r="P105" s="643" t="s">
        <v>197</v>
      </c>
      <c r="Q105" s="646"/>
      <c r="R105" s="34" t="s">
        <v>157</v>
      </c>
      <c r="S105" s="33">
        <f>IF(P105="夏季",料金単価!$D$3,料金単価!$E$3)</f>
        <v>12.63</v>
      </c>
      <c r="T105" s="148" t="s">
        <v>62</v>
      </c>
      <c r="U105" s="149">
        <f>$U$28</f>
        <v>7.29</v>
      </c>
      <c r="V105" s="148" t="s">
        <v>62</v>
      </c>
      <c r="W105" s="150">
        <f>$W$28</f>
        <v>3.45</v>
      </c>
      <c r="X105" s="151" t="s">
        <v>64</v>
      </c>
      <c r="Y105" s="24" t="s">
        <v>61</v>
      </c>
      <c r="Z105" s="151"/>
      <c r="AA105" s="32"/>
      <c r="AB105" s="702">
        <f>X$17+X$19+X$21</f>
        <v>1224.3591529411765</v>
      </c>
      <c r="AC105" s="702"/>
      <c r="AD105" s="24" t="s">
        <v>63</v>
      </c>
      <c r="AE105" s="24"/>
      <c r="AF105" s="24"/>
      <c r="AG105" s="152"/>
      <c r="AH105" s="648">
        <f>(S105+U105+W105)*AB105</f>
        <v>28613.273404235297</v>
      </c>
      <c r="AI105" s="649"/>
      <c r="AJ105" s="649"/>
      <c r="AK105" s="650"/>
      <c r="AL105" s="617"/>
      <c r="AM105" s="618"/>
      <c r="AN105" s="594"/>
      <c r="AO105" s="595"/>
      <c r="AP105" s="613"/>
      <c r="AQ105" s="614"/>
      <c r="AR105" s="625"/>
      <c r="AS105" s="626"/>
      <c r="AT105" s="626"/>
      <c r="AU105" s="613"/>
      <c r="AV105" s="675"/>
      <c r="AW105" s="7"/>
      <c r="AX105" s="7"/>
    </row>
    <row r="106" spans="2:50" ht="13.5" customHeight="1">
      <c r="B106" s="689"/>
      <c r="C106" s="692"/>
      <c r="D106" s="693"/>
      <c r="E106" s="545"/>
      <c r="F106" s="546"/>
      <c r="G106" s="546"/>
      <c r="H106" s="547"/>
      <c r="I106" s="255"/>
      <c r="J106" s="252"/>
      <c r="K106" s="252"/>
      <c r="L106" s="259"/>
      <c r="M106" s="259"/>
      <c r="N106" s="259"/>
      <c r="O106" s="259"/>
      <c r="P106" s="259"/>
      <c r="Q106" s="256"/>
      <c r="R106" s="31"/>
      <c r="S106" s="157" t="s">
        <v>60</v>
      </c>
      <c r="T106" s="175"/>
      <c r="U106" s="176" t="s">
        <v>59</v>
      </c>
      <c r="V106" s="175"/>
      <c r="W106" s="160" t="s">
        <v>58</v>
      </c>
      <c r="Y106" s="30"/>
      <c r="AA106" s="10"/>
      <c r="AB106" s="52"/>
      <c r="AC106" s="52"/>
      <c r="AD106" s="30"/>
      <c r="AE106" s="30"/>
      <c r="AF106" s="30"/>
      <c r="AG106" s="253"/>
      <c r="AH106" s="703"/>
      <c r="AI106" s="704"/>
      <c r="AJ106" s="704"/>
      <c r="AK106" s="705"/>
      <c r="AL106" s="617"/>
      <c r="AM106" s="618"/>
      <c r="AN106" s="594"/>
      <c r="AO106" s="595"/>
      <c r="AP106" s="613"/>
      <c r="AQ106" s="614"/>
      <c r="AR106" s="625"/>
      <c r="AS106" s="626"/>
      <c r="AT106" s="626"/>
      <c r="AU106" s="613"/>
      <c r="AV106" s="675"/>
      <c r="AW106" s="7"/>
      <c r="AX106" s="7"/>
    </row>
    <row r="107" spans="2:50" ht="13.5" customHeight="1">
      <c r="B107" s="689"/>
      <c r="C107" s="694"/>
      <c r="D107" s="695"/>
      <c r="E107" s="708" t="s">
        <v>44</v>
      </c>
      <c r="F107" s="709"/>
      <c r="G107" s="709"/>
      <c r="H107" s="710"/>
      <c r="I107" s="163"/>
      <c r="J107" s="25"/>
      <c r="K107" s="25"/>
      <c r="L107" s="25"/>
      <c r="M107" s="25"/>
      <c r="N107" s="25"/>
      <c r="O107" s="25"/>
      <c r="P107" s="25"/>
      <c r="Q107" s="164"/>
      <c r="R107" s="254"/>
      <c r="S107" s="254"/>
      <c r="T107" s="25"/>
      <c r="U107" s="25"/>
      <c r="V107" s="25"/>
      <c r="W107" s="165"/>
      <c r="X107" s="260"/>
      <c r="Y107" s="260"/>
      <c r="Z107" s="167"/>
      <c r="AA107" s="168"/>
      <c r="AB107" s="711">
        <f>SUM(AB105:AC105)</f>
        <v>1224.3591529411765</v>
      </c>
      <c r="AC107" s="711"/>
      <c r="AD107" s="169" t="s">
        <v>57</v>
      </c>
      <c r="AE107" s="25"/>
      <c r="AF107" s="25"/>
      <c r="AG107" s="25"/>
      <c r="AH107" s="712">
        <f>SUM(AH104:AK105)</f>
        <v>32146.844164235299</v>
      </c>
      <c r="AI107" s="713"/>
      <c r="AJ107" s="713"/>
      <c r="AK107" s="714"/>
      <c r="AL107" s="617"/>
      <c r="AM107" s="618"/>
      <c r="AN107" s="594"/>
      <c r="AO107" s="595"/>
      <c r="AP107" s="613"/>
      <c r="AQ107" s="614"/>
      <c r="AR107" s="625"/>
      <c r="AS107" s="626"/>
      <c r="AT107" s="626"/>
      <c r="AU107" s="613"/>
      <c r="AV107" s="675"/>
      <c r="AW107" s="7"/>
      <c r="AX107" s="7"/>
    </row>
    <row r="108" spans="2:50" ht="13.5" customHeight="1">
      <c r="B108" s="689"/>
      <c r="C108" s="690" t="s">
        <v>56</v>
      </c>
      <c r="D108" s="691"/>
      <c r="E108" s="638" t="s">
        <v>55</v>
      </c>
      <c r="F108" s="543"/>
      <c r="G108" s="543"/>
      <c r="H108" s="544"/>
      <c r="I108" s="146" t="s">
        <v>54</v>
      </c>
      <c r="J108" s="28"/>
      <c r="K108" s="28"/>
      <c r="L108" s="28"/>
      <c r="M108" s="28"/>
      <c r="N108" s="28"/>
      <c r="O108" s="28"/>
      <c r="P108" s="28"/>
      <c r="Q108" s="147"/>
      <c r="R108" s="37" t="s">
        <v>111</v>
      </c>
      <c r="S108" s="639">
        <f>IF('様式11-5'!U$1="LPG",0,IF(X$23&lt;50,料金単価!$C$7,(IF(X$23&lt;100,料金単価!$C$8,IF($X$23&lt;250,料金単価!$C$9,IF($X$23&lt;500,料金単価!$C$10,IF($X$23&lt;800,料金単価!$C$11,料金単価!$C$12)))))))</f>
        <v>0</v>
      </c>
      <c r="T108" s="639"/>
      <c r="U108" s="28" t="s">
        <v>53</v>
      </c>
      <c r="V108" s="54"/>
      <c r="W108" s="29"/>
      <c r="X108" s="29"/>
      <c r="Y108" s="29"/>
      <c r="Z108" s="29"/>
      <c r="AA108" s="29"/>
      <c r="AB108" s="28">
        <v>1</v>
      </c>
      <c r="AC108" s="251" t="s">
        <v>51</v>
      </c>
      <c r="AD108" s="28"/>
      <c r="AE108" s="28"/>
      <c r="AF108" s="28"/>
      <c r="AG108" s="28"/>
      <c r="AH108" s="640">
        <f>IF($AH$22+$AH$23=0,0,S108*AB108)</f>
        <v>0</v>
      </c>
      <c r="AI108" s="641"/>
      <c r="AJ108" s="641"/>
      <c r="AK108" s="642"/>
      <c r="AL108" s="658" t="s">
        <v>55</v>
      </c>
      <c r="AM108" s="634"/>
      <c r="AN108" s="659">
        <f>AN31</f>
        <v>2.29</v>
      </c>
      <c r="AO108" s="660"/>
      <c r="AP108" s="661" t="s">
        <v>45</v>
      </c>
      <c r="AQ108" s="662"/>
      <c r="AR108" s="663">
        <f>AN108*Z110/1000</f>
        <v>0</v>
      </c>
      <c r="AS108" s="664"/>
      <c r="AT108" s="664"/>
      <c r="AU108" s="550" t="s">
        <v>42</v>
      </c>
      <c r="AV108" s="551"/>
      <c r="AW108" s="7"/>
      <c r="AX108" s="7"/>
    </row>
    <row r="109" spans="2:50" ht="13.5" customHeight="1">
      <c r="B109" s="689"/>
      <c r="C109" s="692"/>
      <c r="D109" s="693"/>
      <c r="E109" s="545"/>
      <c r="F109" s="546"/>
      <c r="G109" s="546"/>
      <c r="H109" s="547"/>
      <c r="I109" s="170" t="s">
        <v>47</v>
      </c>
      <c r="J109" s="23"/>
      <c r="K109" s="23"/>
      <c r="L109" s="23"/>
      <c r="M109" s="23"/>
      <c r="N109" s="23"/>
      <c r="O109" s="23"/>
      <c r="P109" s="23" t="s">
        <v>120</v>
      </c>
      <c r="Q109" s="171"/>
      <c r="R109" s="34" t="s">
        <v>111</v>
      </c>
      <c r="S109" s="556">
        <f>IF(P109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09" s="556"/>
      <c r="U109" s="23" t="s">
        <v>48</v>
      </c>
      <c r="V109" s="172" t="s">
        <v>110</v>
      </c>
      <c r="W109" s="173">
        <f>W98</f>
        <v>14.55</v>
      </c>
      <c r="X109" s="258" t="s">
        <v>112</v>
      </c>
      <c r="Y109" s="259" t="s">
        <v>113</v>
      </c>
      <c r="Z109" s="665">
        <f>IF('様式11-5'!U$1="LPG",0,X$23)</f>
        <v>0</v>
      </c>
      <c r="AA109" s="665"/>
      <c r="AB109" s="23" t="s">
        <v>46</v>
      </c>
      <c r="AC109" s="23"/>
      <c r="AD109" s="23"/>
      <c r="AE109" s="23"/>
      <c r="AF109" s="23"/>
      <c r="AG109" s="23"/>
      <c r="AH109" s="558">
        <f>(S109+W109)*Z109</f>
        <v>0</v>
      </c>
      <c r="AI109" s="559"/>
      <c r="AJ109" s="559"/>
      <c r="AK109" s="560"/>
      <c r="AL109" s="617"/>
      <c r="AM109" s="618"/>
      <c r="AN109" s="594"/>
      <c r="AO109" s="595"/>
      <c r="AP109" s="613"/>
      <c r="AQ109" s="614"/>
      <c r="AR109" s="625"/>
      <c r="AS109" s="626"/>
      <c r="AT109" s="626"/>
      <c r="AU109" s="552"/>
      <c r="AV109" s="553"/>
      <c r="AW109" s="7"/>
      <c r="AX109" s="7"/>
    </row>
    <row r="110" spans="2:50" ht="13.5" customHeight="1">
      <c r="B110" s="689"/>
      <c r="C110" s="692"/>
      <c r="D110" s="693"/>
      <c r="E110" s="708" t="s">
        <v>44</v>
      </c>
      <c r="F110" s="709"/>
      <c r="G110" s="709"/>
      <c r="H110" s="710"/>
      <c r="I110" s="163"/>
      <c r="J110" s="25"/>
      <c r="K110" s="25"/>
      <c r="L110" s="25"/>
      <c r="M110" s="25"/>
      <c r="N110" s="25"/>
      <c r="O110" s="25"/>
      <c r="P110" s="25"/>
      <c r="Q110" s="164"/>
      <c r="R110" s="254"/>
      <c r="S110" s="254"/>
      <c r="T110" s="25"/>
      <c r="U110" s="25"/>
      <c r="V110" s="25"/>
      <c r="W110" s="165"/>
      <c r="X110" s="260"/>
      <c r="Y110" s="260"/>
      <c r="Z110" s="715">
        <f>SUM(Z109:Z109)</f>
        <v>0</v>
      </c>
      <c r="AA110" s="715"/>
      <c r="AB110" s="167" t="s">
        <v>43</v>
      </c>
      <c r="AC110" s="167"/>
      <c r="AD110" s="25"/>
      <c r="AE110" s="25"/>
      <c r="AF110" s="25"/>
      <c r="AG110" s="25"/>
      <c r="AH110" s="712">
        <f>SUM(AH108:AK109)</f>
        <v>0</v>
      </c>
      <c r="AI110" s="713"/>
      <c r="AJ110" s="713"/>
      <c r="AK110" s="714"/>
      <c r="AL110" s="619"/>
      <c r="AM110" s="620"/>
      <c r="AN110" s="621"/>
      <c r="AO110" s="622"/>
      <c r="AP110" s="623"/>
      <c r="AQ110" s="624"/>
      <c r="AR110" s="627"/>
      <c r="AS110" s="628"/>
      <c r="AT110" s="628"/>
      <c r="AU110" s="554"/>
      <c r="AV110" s="555"/>
      <c r="AW110" s="7"/>
      <c r="AX110" s="7"/>
    </row>
    <row r="111" spans="2:50" ht="13.5" customHeight="1">
      <c r="B111" s="689"/>
      <c r="C111" s="692"/>
      <c r="D111" s="693"/>
      <c r="E111" s="638" t="s">
        <v>52</v>
      </c>
      <c r="F111" s="543"/>
      <c r="G111" s="543"/>
      <c r="H111" s="544"/>
      <c r="I111" s="146" t="s">
        <v>54</v>
      </c>
      <c r="J111" s="28"/>
      <c r="K111" s="28"/>
      <c r="L111" s="28"/>
      <c r="M111" s="28"/>
      <c r="N111" s="28"/>
      <c r="O111" s="28"/>
      <c r="P111" s="28"/>
      <c r="Q111" s="147"/>
      <c r="R111" s="641">
        <f>$R$34</f>
        <v>1320</v>
      </c>
      <c r="S111" s="641"/>
      <c r="T111" s="28" t="s">
        <v>53</v>
      </c>
      <c r="U111" s="28"/>
      <c r="V111" s="29"/>
      <c r="W111" s="29"/>
      <c r="X111" s="29"/>
      <c r="Y111" s="29"/>
      <c r="Z111" s="29"/>
      <c r="AA111" s="29"/>
      <c r="AB111" s="28">
        <v>1</v>
      </c>
      <c r="AC111" s="251" t="s">
        <v>51</v>
      </c>
      <c r="AD111" s="28"/>
      <c r="AE111" s="28"/>
      <c r="AF111" s="28"/>
      <c r="AG111" s="28"/>
      <c r="AH111" s="640">
        <f>IF($AH$22+$AH$23=0,0,R111*AB111)</f>
        <v>1320</v>
      </c>
      <c r="AI111" s="641"/>
      <c r="AJ111" s="641"/>
      <c r="AK111" s="642"/>
      <c r="AL111" s="617" t="s">
        <v>52</v>
      </c>
      <c r="AM111" s="618"/>
      <c r="AN111" s="594">
        <f>AN34</f>
        <v>6</v>
      </c>
      <c r="AO111" s="595"/>
      <c r="AP111" s="613" t="s">
        <v>45</v>
      </c>
      <c r="AQ111" s="614"/>
      <c r="AR111" s="625">
        <f>AN111*X113/1000</f>
        <v>0</v>
      </c>
      <c r="AS111" s="626"/>
      <c r="AT111" s="626"/>
      <c r="AU111" s="552" t="s">
        <v>42</v>
      </c>
      <c r="AV111" s="553"/>
      <c r="AW111" s="7"/>
      <c r="AX111" s="7"/>
    </row>
    <row r="112" spans="2:50" ht="13.5" customHeight="1">
      <c r="B112" s="689"/>
      <c r="C112" s="692"/>
      <c r="D112" s="693"/>
      <c r="E112" s="545"/>
      <c r="F112" s="546"/>
      <c r="G112" s="546"/>
      <c r="H112" s="547"/>
      <c r="I112" s="170" t="s">
        <v>47</v>
      </c>
      <c r="J112" s="23"/>
      <c r="K112" s="23"/>
      <c r="L112" s="23"/>
      <c r="M112" s="23"/>
      <c r="N112" s="23"/>
      <c r="O112" s="23"/>
      <c r="P112" s="23"/>
      <c r="Q112" s="171"/>
      <c r="R112" s="706">
        <f>$R$35</f>
        <v>440</v>
      </c>
      <c r="S112" s="707"/>
      <c r="T112" s="23" t="s">
        <v>48</v>
      </c>
      <c r="U112" s="23"/>
      <c r="V112" s="23"/>
      <c r="W112" s="23"/>
      <c r="X112" s="657">
        <f>IF('様式11-5'!U$1="LPG",X$23,0)</f>
        <v>0</v>
      </c>
      <c r="Y112" s="644"/>
      <c r="Z112" s="23" t="s">
        <v>46</v>
      </c>
      <c r="AA112" s="23"/>
      <c r="AB112" s="23"/>
      <c r="AC112" s="24"/>
      <c r="AD112" s="23"/>
      <c r="AE112" s="23"/>
      <c r="AF112" s="23"/>
      <c r="AG112" s="23"/>
      <c r="AH112" s="558">
        <f>R112*X112</f>
        <v>0</v>
      </c>
      <c r="AI112" s="559"/>
      <c r="AJ112" s="559"/>
      <c r="AK112" s="560"/>
      <c r="AL112" s="617"/>
      <c r="AM112" s="618"/>
      <c r="AN112" s="594"/>
      <c r="AO112" s="595"/>
      <c r="AP112" s="613"/>
      <c r="AQ112" s="614"/>
      <c r="AR112" s="625"/>
      <c r="AS112" s="626"/>
      <c r="AT112" s="626"/>
      <c r="AU112" s="552"/>
      <c r="AV112" s="553"/>
      <c r="AW112" s="7"/>
      <c r="AX112" s="7"/>
    </row>
    <row r="113" spans="2:50" ht="13.5" customHeight="1" thickBot="1">
      <c r="B113" s="689"/>
      <c r="C113" s="694"/>
      <c r="D113" s="695"/>
      <c r="E113" s="708" t="s">
        <v>44</v>
      </c>
      <c r="F113" s="709"/>
      <c r="G113" s="709"/>
      <c r="H113" s="710"/>
      <c r="I113" s="163"/>
      <c r="J113" s="25"/>
      <c r="K113" s="25"/>
      <c r="L113" s="25"/>
      <c r="M113" s="25"/>
      <c r="N113" s="25"/>
      <c r="O113" s="25"/>
      <c r="P113" s="25"/>
      <c r="Q113" s="164"/>
      <c r="R113" s="254"/>
      <c r="S113" s="254"/>
      <c r="T113" s="25"/>
      <c r="U113" s="25"/>
      <c r="V113" s="25"/>
      <c r="W113" s="165"/>
      <c r="X113" s="716">
        <f>SUM(X112:Y112)</f>
        <v>0</v>
      </c>
      <c r="Y113" s="716"/>
      <c r="Z113" s="25" t="s">
        <v>43</v>
      </c>
      <c r="AA113" s="25"/>
      <c r="AB113" s="25"/>
      <c r="AC113" s="26"/>
      <c r="AD113" s="25"/>
      <c r="AE113" s="25"/>
      <c r="AF113" s="25"/>
      <c r="AG113" s="25"/>
      <c r="AH113" s="712">
        <f>SUM(AH111:AK112)</f>
        <v>1320</v>
      </c>
      <c r="AI113" s="713"/>
      <c r="AJ113" s="713"/>
      <c r="AK113" s="714"/>
      <c r="AL113" s="619"/>
      <c r="AM113" s="620"/>
      <c r="AN113" s="621"/>
      <c r="AO113" s="622"/>
      <c r="AP113" s="623"/>
      <c r="AQ113" s="624"/>
      <c r="AR113" s="627"/>
      <c r="AS113" s="628"/>
      <c r="AT113" s="628"/>
      <c r="AU113" s="554"/>
      <c r="AV113" s="555"/>
      <c r="AW113" s="7"/>
      <c r="AX113" s="7"/>
    </row>
    <row r="114" spans="2:50" ht="13.5" customHeight="1">
      <c r="B114" s="696" t="s">
        <v>80</v>
      </c>
      <c r="C114" s="697"/>
      <c r="D114" s="697"/>
      <c r="E114" s="698" t="s">
        <v>2</v>
      </c>
      <c r="F114" s="697"/>
      <c r="G114" s="697"/>
      <c r="H114" s="699"/>
      <c r="I114" s="698" t="s">
        <v>79</v>
      </c>
      <c r="J114" s="697"/>
      <c r="K114" s="697"/>
      <c r="L114" s="697"/>
      <c r="M114" s="697"/>
      <c r="N114" s="697"/>
      <c r="O114" s="697"/>
      <c r="P114" s="697"/>
      <c r="Q114" s="699"/>
      <c r="R114" s="698" t="s">
        <v>78</v>
      </c>
      <c r="S114" s="697"/>
      <c r="T114" s="697"/>
      <c r="U114" s="697"/>
      <c r="V114" s="697"/>
      <c r="W114" s="697"/>
      <c r="X114" s="697"/>
      <c r="Y114" s="697"/>
      <c r="Z114" s="697"/>
      <c r="AA114" s="697"/>
      <c r="AB114" s="697"/>
      <c r="AC114" s="697"/>
      <c r="AD114" s="697"/>
      <c r="AE114" s="697"/>
      <c r="AF114" s="697"/>
      <c r="AG114" s="699"/>
      <c r="AH114" s="698" t="s">
        <v>77</v>
      </c>
      <c r="AI114" s="697"/>
      <c r="AJ114" s="697"/>
      <c r="AK114" s="700"/>
      <c r="AL114" s="605" t="s">
        <v>2</v>
      </c>
      <c r="AM114" s="606"/>
      <c r="AN114" s="680" t="s">
        <v>76</v>
      </c>
      <c r="AO114" s="681"/>
      <c r="AP114" s="681"/>
      <c r="AQ114" s="682"/>
      <c r="AR114" s="680" t="s">
        <v>75</v>
      </c>
      <c r="AS114" s="681"/>
      <c r="AT114" s="681"/>
      <c r="AU114" s="681"/>
      <c r="AV114" s="683"/>
      <c r="AW114" s="7"/>
      <c r="AX114" s="7"/>
    </row>
    <row r="115" spans="2:50" ht="13.5" customHeight="1">
      <c r="B115" s="688" t="s">
        <v>124</v>
      </c>
      <c r="C115" s="690" t="s">
        <v>74</v>
      </c>
      <c r="D115" s="691"/>
      <c r="E115" s="542" t="s">
        <v>73</v>
      </c>
      <c r="F115" s="543"/>
      <c r="G115" s="543"/>
      <c r="H115" s="544"/>
      <c r="I115" s="146" t="s">
        <v>54</v>
      </c>
      <c r="J115" s="28"/>
      <c r="K115" s="28"/>
      <c r="L115" s="28"/>
      <c r="M115" s="28"/>
      <c r="N115" s="28"/>
      <c r="O115" s="28"/>
      <c r="P115" s="28"/>
      <c r="Q115" s="147"/>
      <c r="R115" s="548">
        <f>IF($AJ$16+$AJ$18+$AJ$20=0,0,料金単価!$C$3)</f>
        <v>1285.8699999999999</v>
      </c>
      <c r="S115" s="548"/>
      <c r="T115" s="28" t="s">
        <v>71</v>
      </c>
      <c r="U115" s="28"/>
      <c r="V115" s="28"/>
      <c r="W115" s="549">
        <f>$W$27</f>
        <v>3.2329411764705891</v>
      </c>
      <c r="X115" s="549"/>
      <c r="Y115" s="28" t="s">
        <v>70</v>
      </c>
      <c r="Z115" s="28"/>
      <c r="AA115" s="28">
        <v>1</v>
      </c>
      <c r="AB115" s="28" t="s">
        <v>69</v>
      </c>
      <c r="AC115" s="28"/>
      <c r="AD115" s="36">
        <v>0.85</v>
      </c>
      <c r="AE115" s="28" t="s">
        <v>68</v>
      </c>
      <c r="AF115" s="28"/>
      <c r="AG115" s="28"/>
      <c r="AH115" s="640">
        <f>R115*W115*AA115*AD115</f>
        <v>3533.570760000001</v>
      </c>
      <c r="AI115" s="641"/>
      <c r="AJ115" s="641"/>
      <c r="AK115" s="642"/>
      <c r="AL115" s="633" t="s">
        <v>0</v>
      </c>
      <c r="AM115" s="634"/>
      <c r="AN115" s="659">
        <f>AN27</f>
        <v>0.44900000000000001</v>
      </c>
      <c r="AO115" s="660"/>
      <c r="AP115" s="661" t="s">
        <v>72</v>
      </c>
      <c r="AQ115" s="662"/>
      <c r="AR115" s="663">
        <f>AN115*AB118/1000</f>
        <v>0.61322488771764727</v>
      </c>
      <c r="AS115" s="664"/>
      <c r="AT115" s="664"/>
      <c r="AU115" s="661" t="s">
        <v>42</v>
      </c>
      <c r="AV115" s="674"/>
      <c r="AW115" s="7"/>
      <c r="AX115" s="7"/>
    </row>
    <row r="116" spans="2:50" ht="13.5" customHeight="1">
      <c r="B116" s="689"/>
      <c r="C116" s="692"/>
      <c r="D116" s="693"/>
      <c r="E116" s="545"/>
      <c r="F116" s="546"/>
      <c r="G116" s="546"/>
      <c r="H116" s="547"/>
      <c r="I116" s="677" t="s">
        <v>47</v>
      </c>
      <c r="J116" s="618"/>
      <c r="K116" s="678"/>
      <c r="L116" s="679" t="s">
        <v>203</v>
      </c>
      <c r="M116" s="618"/>
      <c r="N116" s="618"/>
      <c r="O116" s="678"/>
      <c r="P116" s="643" t="s">
        <v>197</v>
      </c>
      <c r="Q116" s="646"/>
      <c r="R116" s="34" t="s">
        <v>157</v>
      </c>
      <c r="S116" s="33">
        <f>IF(P116="夏季",料金単価!$D$3,料金単価!$E$3)</f>
        <v>12.63</v>
      </c>
      <c r="T116" s="148" t="s">
        <v>62</v>
      </c>
      <c r="U116" s="149">
        <f>$U$28</f>
        <v>7.29</v>
      </c>
      <c r="V116" s="148" t="s">
        <v>62</v>
      </c>
      <c r="W116" s="150">
        <f>$W$28</f>
        <v>3.45</v>
      </c>
      <c r="X116" s="151" t="s">
        <v>64</v>
      </c>
      <c r="Y116" s="24" t="s">
        <v>61</v>
      </c>
      <c r="Z116" s="151"/>
      <c r="AA116" s="32"/>
      <c r="AB116" s="702">
        <f>Z$17+Z$19+Z21</f>
        <v>1365.7569882352943</v>
      </c>
      <c r="AC116" s="702"/>
      <c r="AD116" s="24" t="s">
        <v>63</v>
      </c>
      <c r="AE116" s="24"/>
      <c r="AF116" s="24"/>
      <c r="AG116" s="152"/>
      <c r="AH116" s="648">
        <f>(S116+U116+W116)*AB116</f>
        <v>31917.740815058831</v>
      </c>
      <c r="AI116" s="649"/>
      <c r="AJ116" s="649"/>
      <c r="AK116" s="650"/>
      <c r="AL116" s="617"/>
      <c r="AM116" s="618"/>
      <c r="AN116" s="594"/>
      <c r="AO116" s="595"/>
      <c r="AP116" s="613"/>
      <c r="AQ116" s="614"/>
      <c r="AR116" s="625"/>
      <c r="AS116" s="626"/>
      <c r="AT116" s="626"/>
      <c r="AU116" s="613"/>
      <c r="AV116" s="675"/>
      <c r="AW116" s="7"/>
      <c r="AX116" s="7"/>
    </row>
    <row r="117" spans="2:50" ht="13.5" customHeight="1">
      <c r="B117" s="689"/>
      <c r="C117" s="692"/>
      <c r="D117" s="693"/>
      <c r="E117" s="545"/>
      <c r="F117" s="546"/>
      <c r="G117" s="546"/>
      <c r="H117" s="547"/>
      <c r="I117" s="255"/>
      <c r="J117" s="252"/>
      <c r="K117" s="252"/>
      <c r="L117" s="259"/>
      <c r="M117" s="259"/>
      <c r="N117" s="259"/>
      <c r="O117" s="259"/>
      <c r="P117" s="259"/>
      <c r="Q117" s="256"/>
      <c r="R117" s="31"/>
      <c r="S117" s="157" t="s">
        <v>60</v>
      </c>
      <c r="T117" s="158"/>
      <c r="U117" s="159" t="s">
        <v>59</v>
      </c>
      <c r="V117" s="158"/>
      <c r="W117" s="160" t="s">
        <v>58</v>
      </c>
      <c r="X117" s="161"/>
      <c r="Y117" s="30"/>
      <c r="Z117" s="161"/>
      <c r="AA117" s="51"/>
      <c r="AB117" s="52"/>
      <c r="AC117" s="52"/>
      <c r="AD117" s="30"/>
      <c r="AE117" s="30"/>
      <c r="AF117" s="30"/>
      <c r="AG117" s="253"/>
      <c r="AH117" s="703"/>
      <c r="AI117" s="704"/>
      <c r="AJ117" s="704"/>
      <c r="AK117" s="705"/>
      <c r="AL117" s="617"/>
      <c r="AM117" s="618"/>
      <c r="AN117" s="594"/>
      <c r="AO117" s="595"/>
      <c r="AP117" s="613"/>
      <c r="AQ117" s="614"/>
      <c r="AR117" s="625"/>
      <c r="AS117" s="626"/>
      <c r="AT117" s="626"/>
      <c r="AU117" s="613"/>
      <c r="AV117" s="675"/>
      <c r="AW117" s="7"/>
      <c r="AX117" s="7"/>
    </row>
    <row r="118" spans="2:50" ht="13.5" customHeight="1">
      <c r="B118" s="689"/>
      <c r="C118" s="694"/>
      <c r="D118" s="695"/>
      <c r="E118" s="708" t="s">
        <v>44</v>
      </c>
      <c r="F118" s="709"/>
      <c r="G118" s="709"/>
      <c r="H118" s="710"/>
      <c r="I118" s="163"/>
      <c r="J118" s="25"/>
      <c r="K118" s="25"/>
      <c r="L118" s="25"/>
      <c r="M118" s="25"/>
      <c r="N118" s="25"/>
      <c r="O118" s="25"/>
      <c r="P118" s="25"/>
      <c r="Q118" s="164"/>
      <c r="R118" s="254"/>
      <c r="S118" s="254"/>
      <c r="T118" s="25"/>
      <c r="U118" s="25"/>
      <c r="V118" s="25"/>
      <c r="W118" s="165"/>
      <c r="X118" s="260"/>
      <c r="Y118" s="260"/>
      <c r="Z118" s="167"/>
      <c r="AA118" s="168"/>
      <c r="AB118" s="711">
        <f>SUM(AB116:AC116)</f>
        <v>1365.7569882352943</v>
      </c>
      <c r="AC118" s="711"/>
      <c r="AD118" s="169" t="s">
        <v>57</v>
      </c>
      <c r="AE118" s="25"/>
      <c r="AF118" s="25"/>
      <c r="AG118" s="25"/>
      <c r="AH118" s="712">
        <f>SUM(AH115:AK116)</f>
        <v>35451.311575058833</v>
      </c>
      <c r="AI118" s="713"/>
      <c r="AJ118" s="713"/>
      <c r="AK118" s="714"/>
      <c r="AL118" s="617"/>
      <c r="AM118" s="618"/>
      <c r="AN118" s="594"/>
      <c r="AO118" s="595"/>
      <c r="AP118" s="613"/>
      <c r="AQ118" s="614"/>
      <c r="AR118" s="625"/>
      <c r="AS118" s="626"/>
      <c r="AT118" s="626"/>
      <c r="AU118" s="613"/>
      <c r="AV118" s="675"/>
      <c r="AW118" s="7"/>
      <c r="AX118" s="7"/>
    </row>
    <row r="119" spans="2:50" ht="13.5" customHeight="1">
      <c r="B119" s="689"/>
      <c r="C119" s="690" t="s">
        <v>56</v>
      </c>
      <c r="D119" s="691"/>
      <c r="E119" s="638" t="s">
        <v>55</v>
      </c>
      <c r="F119" s="543"/>
      <c r="G119" s="543"/>
      <c r="H119" s="544"/>
      <c r="I119" s="146" t="s">
        <v>54</v>
      </c>
      <c r="J119" s="28"/>
      <c r="K119" s="28"/>
      <c r="L119" s="28"/>
      <c r="M119" s="28"/>
      <c r="N119" s="28"/>
      <c r="O119" s="28"/>
      <c r="P119" s="28"/>
      <c r="Q119" s="147"/>
      <c r="R119" s="37" t="s">
        <v>111</v>
      </c>
      <c r="S119" s="639">
        <f>IF('様式11-5'!U$1="LPG",0,IF(Z$23&lt;50,料金単価!$C$7,(IF(Z$23&lt;100,料金単価!$C$8,IF($Z$23&lt;250,料金単価!$C$9,IF($Z$23&lt;500,料金単価!$C$10,IF($Z$23&lt;800,料金単価!$C$11,料金単価!$C$12)))))))</f>
        <v>0</v>
      </c>
      <c r="T119" s="639"/>
      <c r="U119" s="28" t="s">
        <v>53</v>
      </c>
      <c r="V119" s="54"/>
      <c r="W119" s="29"/>
      <c r="X119" s="29"/>
      <c r="Y119" s="29"/>
      <c r="Z119" s="29"/>
      <c r="AA119" s="29"/>
      <c r="AB119" s="28">
        <v>1</v>
      </c>
      <c r="AC119" s="251" t="s">
        <v>51</v>
      </c>
      <c r="AD119" s="28"/>
      <c r="AE119" s="28"/>
      <c r="AF119" s="28"/>
      <c r="AG119" s="28"/>
      <c r="AH119" s="640">
        <f>IF($AH$22+$AH$23=0,0,S119*AB119)</f>
        <v>0</v>
      </c>
      <c r="AI119" s="641"/>
      <c r="AJ119" s="641"/>
      <c r="AK119" s="642"/>
      <c r="AL119" s="658" t="s">
        <v>55</v>
      </c>
      <c r="AM119" s="634"/>
      <c r="AN119" s="659">
        <f>AN31</f>
        <v>2.29</v>
      </c>
      <c r="AO119" s="660"/>
      <c r="AP119" s="661" t="s">
        <v>45</v>
      </c>
      <c r="AQ119" s="662"/>
      <c r="AR119" s="663">
        <f>AN119*Z121/1000</f>
        <v>0</v>
      </c>
      <c r="AS119" s="664"/>
      <c r="AT119" s="664"/>
      <c r="AU119" s="550" t="s">
        <v>42</v>
      </c>
      <c r="AV119" s="551"/>
      <c r="AW119" s="7"/>
      <c r="AX119" s="7"/>
    </row>
    <row r="120" spans="2:50" ht="13.5" customHeight="1">
      <c r="B120" s="689"/>
      <c r="C120" s="692"/>
      <c r="D120" s="693"/>
      <c r="E120" s="545"/>
      <c r="F120" s="546"/>
      <c r="G120" s="546"/>
      <c r="H120" s="547"/>
      <c r="I120" s="170" t="s">
        <v>47</v>
      </c>
      <c r="J120" s="23"/>
      <c r="K120" s="23"/>
      <c r="L120" s="23"/>
      <c r="M120" s="23"/>
      <c r="N120" s="23"/>
      <c r="O120" s="23"/>
      <c r="P120" s="23" t="s">
        <v>120</v>
      </c>
      <c r="Q120" s="171"/>
      <c r="R120" s="34" t="s">
        <v>111</v>
      </c>
      <c r="S120" s="556">
        <f>IF(P120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20" s="556"/>
      <c r="U120" s="23" t="s">
        <v>48</v>
      </c>
      <c r="V120" s="172" t="s">
        <v>110</v>
      </c>
      <c r="W120" s="173">
        <f>W109</f>
        <v>14.55</v>
      </c>
      <c r="X120" s="258" t="s">
        <v>112</v>
      </c>
      <c r="Y120" s="259" t="s">
        <v>113</v>
      </c>
      <c r="Z120" s="665">
        <f>IF('様式11-5'!U$1="LPG",0,Z$23)</f>
        <v>0</v>
      </c>
      <c r="AA120" s="665"/>
      <c r="AB120" s="23" t="s">
        <v>46</v>
      </c>
      <c r="AC120" s="23"/>
      <c r="AD120" s="23"/>
      <c r="AE120" s="23"/>
      <c r="AF120" s="23"/>
      <c r="AG120" s="23"/>
      <c r="AH120" s="558">
        <f>(S120+W120)*Z120</f>
        <v>0</v>
      </c>
      <c r="AI120" s="559"/>
      <c r="AJ120" s="559"/>
      <c r="AK120" s="560"/>
      <c r="AL120" s="617"/>
      <c r="AM120" s="618"/>
      <c r="AN120" s="594"/>
      <c r="AO120" s="595"/>
      <c r="AP120" s="613"/>
      <c r="AQ120" s="614"/>
      <c r="AR120" s="625"/>
      <c r="AS120" s="626"/>
      <c r="AT120" s="626"/>
      <c r="AU120" s="552"/>
      <c r="AV120" s="553"/>
      <c r="AW120" s="7"/>
      <c r="AX120" s="7"/>
    </row>
    <row r="121" spans="2:50" ht="13.5" customHeight="1">
      <c r="B121" s="689"/>
      <c r="C121" s="692"/>
      <c r="D121" s="693"/>
      <c r="E121" s="708" t="s">
        <v>44</v>
      </c>
      <c r="F121" s="709"/>
      <c r="G121" s="709"/>
      <c r="H121" s="710"/>
      <c r="I121" s="163"/>
      <c r="J121" s="25"/>
      <c r="K121" s="25"/>
      <c r="L121" s="25"/>
      <c r="M121" s="25"/>
      <c r="N121" s="25"/>
      <c r="O121" s="25"/>
      <c r="P121" s="25"/>
      <c r="Q121" s="164"/>
      <c r="R121" s="254"/>
      <c r="S121" s="254"/>
      <c r="T121" s="25"/>
      <c r="U121" s="25"/>
      <c r="V121" s="25"/>
      <c r="W121" s="165"/>
      <c r="X121" s="260"/>
      <c r="Y121" s="260"/>
      <c r="Z121" s="715">
        <f>SUM(Z120:Z120)</f>
        <v>0</v>
      </c>
      <c r="AA121" s="715"/>
      <c r="AB121" s="167" t="s">
        <v>43</v>
      </c>
      <c r="AC121" s="167"/>
      <c r="AD121" s="25"/>
      <c r="AE121" s="25"/>
      <c r="AF121" s="25"/>
      <c r="AG121" s="25"/>
      <c r="AH121" s="712">
        <f>SUM(AH119:AK120)</f>
        <v>0</v>
      </c>
      <c r="AI121" s="713"/>
      <c r="AJ121" s="713"/>
      <c r="AK121" s="714"/>
      <c r="AL121" s="619"/>
      <c r="AM121" s="620"/>
      <c r="AN121" s="621"/>
      <c r="AO121" s="622"/>
      <c r="AP121" s="623"/>
      <c r="AQ121" s="624"/>
      <c r="AR121" s="627"/>
      <c r="AS121" s="628"/>
      <c r="AT121" s="628"/>
      <c r="AU121" s="554"/>
      <c r="AV121" s="555"/>
      <c r="AW121" s="7"/>
      <c r="AX121" s="7"/>
    </row>
    <row r="122" spans="2:50" ht="13.5" customHeight="1">
      <c r="B122" s="689"/>
      <c r="C122" s="692"/>
      <c r="D122" s="693"/>
      <c r="E122" s="638" t="s">
        <v>52</v>
      </c>
      <c r="F122" s="543"/>
      <c r="G122" s="543"/>
      <c r="H122" s="544"/>
      <c r="I122" s="146" t="s">
        <v>54</v>
      </c>
      <c r="J122" s="28"/>
      <c r="K122" s="28"/>
      <c r="L122" s="28"/>
      <c r="M122" s="28"/>
      <c r="N122" s="28"/>
      <c r="O122" s="28"/>
      <c r="P122" s="28"/>
      <c r="Q122" s="147"/>
      <c r="R122" s="641">
        <f>$R$34</f>
        <v>1320</v>
      </c>
      <c r="S122" s="641"/>
      <c r="T122" s="28" t="s">
        <v>53</v>
      </c>
      <c r="U122" s="28"/>
      <c r="V122" s="29"/>
      <c r="W122" s="29"/>
      <c r="X122" s="29"/>
      <c r="Y122" s="29"/>
      <c r="Z122" s="29"/>
      <c r="AA122" s="29"/>
      <c r="AB122" s="28">
        <v>1</v>
      </c>
      <c r="AC122" s="251" t="s">
        <v>51</v>
      </c>
      <c r="AD122" s="28"/>
      <c r="AE122" s="28"/>
      <c r="AF122" s="28"/>
      <c r="AG122" s="28"/>
      <c r="AH122" s="640">
        <f>IF($AH$22+$AH$23=0,0,R122*AB122)</f>
        <v>1320</v>
      </c>
      <c r="AI122" s="641"/>
      <c r="AJ122" s="641"/>
      <c r="AK122" s="642"/>
      <c r="AL122" s="617" t="s">
        <v>52</v>
      </c>
      <c r="AM122" s="618"/>
      <c r="AN122" s="594">
        <f>AN34</f>
        <v>6</v>
      </c>
      <c r="AO122" s="595"/>
      <c r="AP122" s="613" t="s">
        <v>45</v>
      </c>
      <c r="AQ122" s="614"/>
      <c r="AR122" s="625">
        <f>AN122*X124/1000</f>
        <v>0</v>
      </c>
      <c r="AS122" s="626"/>
      <c r="AT122" s="626"/>
      <c r="AU122" s="552" t="s">
        <v>42</v>
      </c>
      <c r="AV122" s="553"/>
      <c r="AW122" s="7"/>
      <c r="AX122" s="7"/>
    </row>
    <row r="123" spans="2:50" ht="13.5" customHeight="1">
      <c r="B123" s="689"/>
      <c r="C123" s="692"/>
      <c r="D123" s="693"/>
      <c r="E123" s="545"/>
      <c r="F123" s="546"/>
      <c r="G123" s="546"/>
      <c r="H123" s="547"/>
      <c r="I123" s="170" t="s">
        <v>47</v>
      </c>
      <c r="J123" s="23"/>
      <c r="K123" s="23"/>
      <c r="L123" s="23"/>
      <c r="M123" s="23"/>
      <c r="N123" s="23"/>
      <c r="O123" s="23"/>
      <c r="P123" s="23"/>
      <c r="Q123" s="171"/>
      <c r="R123" s="706">
        <f>$R$35</f>
        <v>440</v>
      </c>
      <c r="S123" s="707"/>
      <c r="T123" s="23" t="s">
        <v>48</v>
      </c>
      <c r="U123" s="23"/>
      <c r="V123" s="23"/>
      <c r="W123" s="23"/>
      <c r="X123" s="657">
        <f>IF('様式11-5'!U$1="LPG",Z$23,0)</f>
        <v>0</v>
      </c>
      <c r="Y123" s="644"/>
      <c r="Z123" s="23" t="s">
        <v>46</v>
      </c>
      <c r="AA123" s="23"/>
      <c r="AB123" s="23"/>
      <c r="AC123" s="24"/>
      <c r="AD123" s="23"/>
      <c r="AE123" s="23"/>
      <c r="AF123" s="23"/>
      <c r="AG123" s="23"/>
      <c r="AH123" s="558">
        <f>R123*X123</f>
        <v>0</v>
      </c>
      <c r="AI123" s="559"/>
      <c r="AJ123" s="559"/>
      <c r="AK123" s="560"/>
      <c r="AL123" s="617"/>
      <c r="AM123" s="618"/>
      <c r="AN123" s="594"/>
      <c r="AO123" s="595"/>
      <c r="AP123" s="613"/>
      <c r="AQ123" s="614"/>
      <c r="AR123" s="625"/>
      <c r="AS123" s="626"/>
      <c r="AT123" s="626"/>
      <c r="AU123" s="552"/>
      <c r="AV123" s="553"/>
      <c r="AW123" s="7"/>
      <c r="AX123" s="7"/>
    </row>
    <row r="124" spans="2:50" ht="13.5" customHeight="1" thickBot="1">
      <c r="B124" s="689"/>
      <c r="C124" s="694"/>
      <c r="D124" s="695"/>
      <c r="E124" s="708" t="s">
        <v>44</v>
      </c>
      <c r="F124" s="709"/>
      <c r="G124" s="709"/>
      <c r="H124" s="710"/>
      <c r="I124" s="163"/>
      <c r="J124" s="25"/>
      <c r="K124" s="25"/>
      <c r="L124" s="25"/>
      <c r="M124" s="25"/>
      <c r="N124" s="25"/>
      <c r="O124" s="25"/>
      <c r="P124" s="25"/>
      <c r="Q124" s="164"/>
      <c r="R124" s="254"/>
      <c r="S124" s="254"/>
      <c r="T124" s="25"/>
      <c r="U124" s="25"/>
      <c r="V124" s="25"/>
      <c r="W124" s="165"/>
      <c r="X124" s="716">
        <f>SUM(X123:Y123)</f>
        <v>0</v>
      </c>
      <c r="Y124" s="716"/>
      <c r="Z124" s="25" t="s">
        <v>43</v>
      </c>
      <c r="AA124" s="25"/>
      <c r="AB124" s="25"/>
      <c r="AC124" s="26"/>
      <c r="AD124" s="25"/>
      <c r="AE124" s="25"/>
      <c r="AF124" s="25"/>
      <c r="AG124" s="25"/>
      <c r="AH124" s="712">
        <f>SUM(AH122:AK123)</f>
        <v>1320</v>
      </c>
      <c r="AI124" s="713"/>
      <c r="AJ124" s="713"/>
      <c r="AK124" s="714"/>
      <c r="AL124" s="619"/>
      <c r="AM124" s="620"/>
      <c r="AN124" s="621"/>
      <c r="AO124" s="622"/>
      <c r="AP124" s="623"/>
      <c r="AQ124" s="624"/>
      <c r="AR124" s="627"/>
      <c r="AS124" s="628"/>
      <c r="AT124" s="628"/>
      <c r="AU124" s="554"/>
      <c r="AV124" s="555"/>
      <c r="AW124" s="7"/>
      <c r="AX124" s="7"/>
    </row>
    <row r="125" spans="2:50" ht="13.5" customHeight="1">
      <c r="B125" s="696" t="s">
        <v>80</v>
      </c>
      <c r="C125" s="697"/>
      <c r="D125" s="697"/>
      <c r="E125" s="698" t="s">
        <v>2</v>
      </c>
      <c r="F125" s="697"/>
      <c r="G125" s="697"/>
      <c r="H125" s="699"/>
      <c r="I125" s="698" t="s">
        <v>79</v>
      </c>
      <c r="J125" s="697"/>
      <c r="K125" s="697"/>
      <c r="L125" s="697"/>
      <c r="M125" s="697"/>
      <c r="N125" s="697"/>
      <c r="O125" s="697"/>
      <c r="P125" s="697"/>
      <c r="Q125" s="699"/>
      <c r="R125" s="698" t="s">
        <v>78</v>
      </c>
      <c r="S125" s="697"/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9"/>
      <c r="AH125" s="698" t="s">
        <v>77</v>
      </c>
      <c r="AI125" s="697"/>
      <c r="AJ125" s="697"/>
      <c r="AK125" s="700"/>
      <c r="AL125" s="605" t="s">
        <v>2</v>
      </c>
      <c r="AM125" s="606"/>
      <c r="AN125" s="680" t="s">
        <v>76</v>
      </c>
      <c r="AO125" s="681"/>
      <c r="AP125" s="681"/>
      <c r="AQ125" s="682"/>
      <c r="AR125" s="680" t="s">
        <v>75</v>
      </c>
      <c r="AS125" s="681"/>
      <c r="AT125" s="681"/>
      <c r="AU125" s="681"/>
      <c r="AV125" s="683"/>
      <c r="AW125" s="7"/>
      <c r="AX125" s="7"/>
    </row>
    <row r="126" spans="2:50" ht="13.5" customHeight="1">
      <c r="B126" s="688" t="s">
        <v>127</v>
      </c>
      <c r="C126" s="690" t="s">
        <v>74</v>
      </c>
      <c r="D126" s="691"/>
      <c r="E126" s="542" t="s">
        <v>73</v>
      </c>
      <c r="F126" s="543"/>
      <c r="G126" s="543"/>
      <c r="H126" s="544"/>
      <c r="I126" s="146" t="s">
        <v>54</v>
      </c>
      <c r="J126" s="28"/>
      <c r="K126" s="28"/>
      <c r="L126" s="28"/>
      <c r="M126" s="28"/>
      <c r="N126" s="28"/>
      <c r="O126" s="28"/>
      <c r="P126" s="28"/>
      <c r="Q126" s="147"/>
      <c r="R126" s="548">
        <f>IF($AJ$16+$AJ$18+$AJ$20=0,0,料金単価!$C$3)</f>
        <v>1285.8699999999999</v>
      </c>
      <c r="S126" s="548"/>
      <c r="T126" s="28" t="s">
        <v>71</v>
      </c>
      <c r="U126" s="28"/>
      <c r="V126" s="28"/>
      <c r="W126" s="549">
        <f>$W$27</f>
        <v>3.2329411764705891</v>
      </c>
      <c r="X126" s="549"/>
      <c r="Y126" s="28" t="s">
        <v>70</v>
      </c>
      <c r="Z126" s="28"/>
      <c r="AA126" s="28">
        <v>1</v>
      </c>
      <c r="AB126" s="28" t="s">
        <v>69</v>
      </c>
      <c r="AC126" s="28"/>
      <c r="AD126" s="36">
        <v>0.85</v>
      </c>
      <c r="AE126" s="28" t="s">
        <v>68</v>
      </c>
      <c r="AF126" s="28"/>
      <c r="AG126" s="28"/>
      <c r="AH126" s="640">
        <f>R126*W126*AA126*AD126</f>
        <v>3533.570760000001</v>
      </c>
      <c r="AI126" s="641"/>
      <c r="AJ126" s="641"/>
      <c r="AK126" s="642"/>
      <c r="AL126" s="633" t="s">
        <v>0</v>
      </c>
      <c r="AM126" s="634"/>
      <c r="AN126" s="659">
        <f>AN27</f>
        <v>0.44900000000000001</v>
      </c>
      <c r="AO126" s="660"/>
      <c r="AP126" s="661" t="s">
        <v>72</v>
      </c>
      <c r="AQ126" s="662"/>
      <c r="AR126" s="663">
        <f>AN126*AB129/1000</f>
        <v>0.29568938315294119</v>
      </c>
      <c r="AS126" s="664"/>
      <c r="AT126" s="664"/>
      <c r="AU126" s="661" t="s">
        <v>42</v>
      </c>
      <c r="AV126" s="674"/>
      <c r="AW126" s="7"/>
      <c r="AX126" s="7"/>
    </row>
    <row r="127" spans="2:50" ht="13.5" customHeight="1">
      <c r="B127" s="689"/>
      <c r="C127" s="692"/>
      <c r="D127" s="693"/>
      <c r="E127" s="545"/>
      <c r="F127" s="546"/>
      <c r="G127" s="546"/>
      <c r="H127" s="547"/>
      <c r="I127" s="677" t="s">
        <v>47</v>
      </c>
      <c r="J127" s="618"/>
      <c r="K127" s="678"/>
      <c r="L127" s="679" t="s">
        <v>203</v>
      </c>
      <c r="M127" s="618"/>
      <c r="N127" s="618"/>
      <c r="O127" s="678"/>
      <c r="P127" s="643" t="s">
        <v>197</v>
      </c>
      <c r="Q127" s="646"/>
      <c r="R127" s="34" t="s">
        <v>157</v>
      </c>
      <c r="S127" s="33">
        <f>IF(P127="夏季",料金単価!$D$3,料金単価!$E$3)</f>
        <v>12.63</v>
      </c>
      <c r="T127" s="148" t="s">
        <v>62</v>
      </c>
      <c r="U127" s="149">
        <f>$U$28</f>
        <v>7.29</v>
      </c>
      <c r="V127" s="148" t="s">
        <v>62</v>
      </c>
      <c r="W127" s="150">
        <f>$W$28</f>
        <v>3.45</v>
      </c>
      <c r="X127" s="151" t="s">
        <v>64</v>
      </c>
      <c r="Y127" s="24" t="s">
        <v>61</v>
      </c>
      <c r="Z127" s="151"/>
      <c r="AA127" s="32"/>
      <c r="AB127" s="702">
        <f>AB$17+AB$19+AB21</f>
        <v>658.55096470588228</v>
      </c>
      <c r="AC127" s="702"/>
      <c r="AD127" s="24" t="s">
        <v>63</v>
      </c>
      <c r="AE127" s="24"/>
      <c r="AF127" s="24"/>
      <c r="AG127" s="152"/>
      <c r="AH127" s="648">
        <f>(S127+U127+W127)*AB127</f>
        <v>15390.336045176469</v>
      </c>
      <c r="AI127" s="649"/>
      <c r="AJ127" s="649"/>
      <c r="AK127" s="650"/>
      <c r="AL127" s="617"/>
      <c r="AM127" s="618"/>
      <c r="AN127" s="594"/>
      <c r="AO127" s="595"/>
      <c r="AP127" s="613"/>
      <c r="AQ127" s="614"/>
      <c r="AR127" s="625"/>
      <c r="AS127" s="626"/>
      <c r="AT127" s="626"/>
      <c r="AU127" s="613"/>
      <c r="AV127" s="675"/>
      <c r="AW127" s="7"/>
      <c r="AX127" s="7"/>
    </row>
    <row r="128" spans="2:50" ht="13.5" customHeight="1">
      <c r="B128" s="689"/>
      <c r="C128" s="692"/>
      <c r="D128" s="693"/>
      <c r="E128" s="545"/>
      <c r="F128" s="546"/>
      <c r="G128" s="546"/>
      <c r="H128" s="547"/>
      <c r="I128" s="255"/>
      <c r="J128" s="252"/>
      <c r="K128" s="252"/>
      <c r="L128" s="259"/>
      <c r="M128" s="259"/>
      <c r="N128" s="259"/>
      <c r="O128" s="259"/>
      <c r="P128" s="259"/>
      <c r="Q128" s="256"/>
      <c r="R128" s="31"/>
      <c r="S128" s="157" t="s">
        <v>60</v>
      </c>
      <c r="T128" s="175"/>
      <c r="U128" s="176" t="s">
        <v>59</v>
      </c>
      <c r="V128" s="175"/>
      <c r="W128" s="160" t="s">
        <v>58</v>
      </c>
      <c r="Y128" s="30"/>
      <c r="AA128" s="10"/>
      <c r="AB128" s="52"/>
      <c r="AC128" s="52"/>
      <c r="AD128" s="30"/>
      <c r="AE128" s="30"/>
      <c r="AF128" s="30"/>
      <c r="AG128" s="253"/>
      <c r="AH128" s="703"/>
      <c r="AI128" s="704"/>
      <c r="AJ128" s="704"/>
      <c r="AK128" s="705"/>
      <c r="AL128" s="617"/>
      <c r="AM128" s="618"/>
      <c r="AN128" s="594"/>
      <c r="AO128" s="595"/>
      <c r="AP128" s="613"/>
      <c r="AQ128" s="614"/>
      <c r="AR128" s="625"/>
      <c r="AS128" s="626"/>
      <c r="AT128" s="626"/>
      <c r="AU128" s="613"/>
      <c r="AV128" s="675"/>
      <c r="AW128" s="7"/>
      <c r="AX128" s="7"/>
    </row>
    <row r="129" spans="2:50" ht="13.5" customHeight="1">
      <c r="B129" s="689"/>
      <c r="C129" s="694"/>
      <c r="D129" s="695"/>
      <c r="E129" s="708" t="s">
        <v>44</v>
      </c>
      <c r="F129" s="709"/>
      <c r="G129" s="709"/>
      <c r="H129" s="710"/>
      <c r="I129" s="163"/>
      <c r="J129" s="25"/>
      <c r="K129" s="25"/>
      <c r="L129" s="25"/>
      <c r="M129" s="25"/>
      <c r="N129" s="25"/>
      <c r="O129" s="25"/>
      <c r="P129" s="25"/>
      <c r="Q129" s="164"/>
      <c r="R129" s="254"/>
      <c r="S129" s="254"/>
      <c r="T129" s="25"/>
      <c r="U129" s="25"/>
      <c r="V129" s="25"/>
      <c r="W129" s="165"/>
      <c r="X129" s="260"/>
      <c r="Y129" s="260"/>
      <c r="Z129" s="167"/>
      <c r="AA129" s="168"/>
      <c r="AB129" s="711">
        <f>SUM(AB127:AC127)</f>
        <v>658.55096470588228</v>
      </c>
      <c r="AC129" s="711"/>
      <c r="AD129" s="169" t="s">
        <v>57</v>
      </c>
      <c r="AE129" s="25"/>
      <c r="AF129" s="25"/>
      <c r="AG129" s="25"/>
      <c r="AH129" s="712">
        <f>SUM(AH126:AK127)</f>
        <v>18923.90680517647</v>
      </c>
      <c r="AI129" s="713"/>
      <c r="AJ129" s="713"/>
      <c r="AK129" s="714"/>
      <c r="AL129" s="617"/>
      <c r="AM129" s="618"/>
      <c r="AN129" s="594"/>
      <c r="AO129" s="595"/>
      <c r="AP129" s="613"/>
      <c r="AQ129" s="614"/>
      <c r="AR129" s="625"/>
      <c r="AS129" s="626"/>
      <c r="AT129" s="626"/>
      <c r="AU129" s="613"/>
      <c r="AV129" s="675"/>
      <c r="AW129" s="7"/>
      <c r="AX129" s="7"/>
    </row>
    <row r="130" spans="2:50" ht="13.5" customHeight="1">
      <c r="B130" s="689"/>
      <c r="C130" s="690" t="s">
        <v>56</v>
      </c>
      <c r="D130" s="691"/>
      <c r="E130" s="638" t="s">
        <v>55</v>
      </c>
      <c r="F130" s="543"/>
      <c r="G130" s="543"/>
      <c r="H130" s="544"/>
      <c r="I130" s="146" t="s">
        <v>54</v>
      </c>
      <c r="J130" s="28"/>
      <c r="K130" s="28"/>
      <c r="L130" s="28"/>
      <c r="M130" s="28"/>
      <c r="N130" s="28"/>
      <c r="O130" s="28"/>
      <c r="P130" s="28"/>
      <c r="Q130" s="147"/>
      <c r="R130" s="37" t="s">
        <v>111</v>
      </c>
      <c r="S130" s="639">
        <f>IF('様式11-5'!U$1="LPG",0,IF(AB$23&lt;50,料金単価!$C$7,(IF(AB$23&lt;100,料金単価!$C$8,IF($AB$23&lt;250,料金単価!$C$9,IF($AB$23&lt;500,料金単価!$C$10,IF($AB$23&lt;800,料金単価!$C$11,料金単価!$C$12)))))))</f>
        <v>0</v>
      </c>
      <c r="T130" s="639"/>
      <c r="U130" s="28" t="s">
        <v>53</v>
      </c>
      <c r="V130" s="54"/>
      <c r="W130" s="29"/>
      <c r="X130" s="29"/>
      <c r="Y130" s="29"/>
      <c r="Z130" s="29"/>
      <c r="AA130" s="29"/>
      <c r="AB130" s="28">
        <v>1</v>
      </c>
      <c r="AC130" s="251" t="s">
        <v>51</v>
      </c>
      <c r="AD130" s="28"/>
      <c r="AE130" s="28"/>
      <c r="AF130" s="28"/>
      <c r="AG130" s="28"/>
      <c r="AH130" s="640">
        <f>IF($AH$22+$AH$23=0,0,S130*AB130)</f>
        <v>0</v>
      </c>
      <c r="AI130" s="641"/>
      <c r="AJ130" s="641"/>
      <c r="AK130" s="642"/>
      <c r="AL130" s="658" t="s">
        <v>55</v>
      </c>
      <c r="AM130" s="634"/>
      <c r="AN130" s="659">
        <f>AN31</f>
        <v>2.29</v>
      </c>
      <c r="AO130" s="660"/>
      <c r="AP130" s="661" t="s">
        <v>45</v>
      </c>
      <c r="AQ130" s="662"/>
      <c r="AR130" s="663">
        <f>AN130*Z132/1000</f>
        <v>0</v>
      </c>
      <c r="AS130" s="664"/>
      <c r="AT130" s="664"/>
      <c r="AU130" s="550" t="s">
        <v>42</v>
      </c>
      <c r="AV130" s="551"/>
      <c r="AW130" s="7"/>
      <c r="AX130" s="7"/>
    </row>
    <row r="131" spans="2:50" ht="13.5" customHeight="1">
      <c r="B131" s="689"/>
      <c r="C131" s="692"/>
      <c r="D131" s="693"/>
      <c r="E131" s="545"/>
      <c r="F131" s="546"/>
      <c r="G131" s="546"/>
      <c r="H131" s="547"/>
      <c r="I131" s="170" t="s">
        <v>47</v>
      </c>
      <c r="J131" s="23"/>
      <c r="K131" s="23"/>
      <c r="L131" s="23"/>
      <c r="M131" s="23"/>
      <c r="N131" s="23"/>
      <c r="O131" s="23"/>
      <c r="P131" s="23" t="s">
        <v>120</v>
      </c>
      <c r="Q131" s="171"/>
      <c r="R131" s="34" t="s">
        <v>111</v>
      </c>
      <c r="S131" s="556">
        <f>IF(P131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157.34</v>
      </c>
      <c r="T131" s="556"/>
      <c r="U131" s="23" t="s">
        <v>48</v>
      </c>
      <c r="V131" s="172" t="s">
        <v>110</v>
      </c>
      <c r="W131" s="173">
        <f>W120</f>
        <v>14.55</v>
      </c>
      <c r="X131" s="258" t="s">
        <v>112</v>
      </c>
      <c r="Y131" s="259" t="s">
        <v>113</v>
      </c>
      <c r="Z131" s="665">
        <f>IF('様式11-5'!U$1="LPG",0,AB$23)</f>
        <v>0</v>
      </c>
      <c r="AA131" s="665"/>
      <c r="AB131" s="23" t="s">
        <v>46</v>
      </c>
      <c r="AC131" s="23"/>
      <c r="AD131" s="23"/>
      <c r="AE131" s="23"/>
      <c r="AF131" s="23"/>
      <c r="AG131" s="23"/>
      <c r="AH131" s="558">
        <f>(S131+W131)*Z131</f>
        <v>0</v>
      </c>
      <c r="AI131" s="559"/>
      <c r="AJ131" s="559"/>
      <c r="AK131" s="560"/>
      <c r="AL131" s="617"/>
      <c r="AM131" s="618"/>
      <c r="AN131" s="594"/>
      <c r="AO131" s="595"/>
      <c r="AP131" s="613"/>
      <c r="AQ131" s="614"/>
      <c r="AR131" s="625"/>
      <c r="AS131" s="626"/>
      <c r="AT131" s="626"/>
      <c r="AU131" s="552"/>
      <c r="AV131" s="553"/>
      <c r="AW131" s="7"/>
      <c r="AX131" s="7"/>
    </row>
    <row r="132" spans="2:50" ht="13.5" customHeight="1">
      <c r="B132" s="689"/>
      <c r="C132" s="692"/>
      <c r="D132" s="693"/>
      <c r="E132" s="708" t="s">
        <v>44</v>
      </c>
      <c r="F132" s="709"/>
      <c r="G132" s="709"/>
      <c r="H132" s="710"/>
      <c r="I132" s="163"/>
      <c r="J132" s="25"/>
      <c r="K132" s="25"/>
      <c r="L132" s="25"/>
      <c r="M132" s="25"/>
      <c r="N132" s="25"/>
      <c r="O132" s="25"/>
      <c r="P132" s="25"/>
      <c r="Q132" s="164"/>
      <c r="R132" s="254"/>
      <c r="S132" s="254"/>
      <c r="T132" s="25"/>
      <c r="U132" s="25"/>
      <c r="V132" s="25"/>
      <c r="W132" s="165"/>
      <c r="X132" s="260"/>
      <c r="Y132" s="260"/>
      <c r="Z132" s="715">
        <f>SUM(Z131:Z131)</f>
        <v>0</v>
      </c>
      <c r="AA132" s="715"/>
      <c r="AB132" s="167" t="s">
        <v>43</v>
      </c>
      <c r="AC132" s="167"/>
      <c r="AD132" s="25"/>
      <c r="AE132" s="25"/>
      <c r="AF132" s="25"/>
      <c r="AG132" s="25"/>
      <c r="AH132" s="712">
        <f>SUM(AH130:AK131)</f>
        <v>0</v>
      </c>
      <c r="AI132" s="713"/>
      <c r="AJ132" s="713"/>
      <c r="AK132" s="714"/>
      <c r="AL132" s="619"/>
      <c r="AM132" s="620"/>
      <c r="AN132" s="621"/>
      <c r="AO132" s="622"/>
      <c r="AP132" s="623"/>
      <c r="AQ132" s="624"/>
      <c r="AR132" s="627"/>
      <c r="AS132" s="628"/>
      <c r="AT132" s="628"/>
      <c r="AU132" s="554"/>
      <c r="AV132" s="555"/>
      <c r="AW132" s="7"/>
      <c r="AX132" s="7"/>
    </row>
    <row r="133" spans="2:50" ht="13.5" customHeight="1">
      <c r="B133" s="689"/>
      <c r="C133" s="692"/>
      <c r="D133" s="693"/>
      <c r="E133" s="638" t="s">
        <v>52</v>
      </c>
      <c r="F133" s="543"/>
      <c r="G133" s="543"/>
      <c r="H133" s="544"/>
      <c r="I133" s="146" t="s">
        <v>54</v>
      </c>
      <c r="J133" s="28"/>
      <c r="K133" s="28"/>
      <c r="L133" s="28"/>
      <c r="M133" s="28"/>
      <c r="N133" s="28"/>
      <c r="O133" s="28"/>
      <c r="P133" s="28"/>
      <c r="Q133" s="147"/>
      <c r="R133" s="641">
        <f>$R$34</f>
        <v>1320</v>
      </c>
      <c r="S133" s="641"/>
      <c r="T133" s="28" t="s">
        <v>53</v>
      </c>
      <c r="U133" s="28"/>
      <c r="V133" s="29"/>
      <c r="W133" s="29"/>
      <c r="X133" s="29"/>
      <c r="Y133" s="29"/>
      <c r="Z133" s="29"/>
      <c r="AA133" s="29"/>
      <c r="AB133" s="28">
        <v>1</v>
      </c>
      <c r="AC133" s="251" t="s">
        <v>51</v>
      </c>
      <c r="AD133" s="28"/>
      <c r="AE133" s="28"/>
      <c r="AF133" s="28"/>
      <c r="AG133" s="28"/>
      <c r="AH133" s="640">
        <f>IF($AH$22+$AH$23=0,0,R133*AB133)</f>
        <v>1320</v>
      </c>
      <c r="AI133" s="641"/>
      <c r="AJ133" s="641"/>
      <c r="AK133" s="642"/>
      <c r="AL133" s="617" t="s">
        <v>52</v>
      </c>
      <c r="AM133" s="618"/>
      <c r="AN133" s="594">
        <f>AN34</f>
        <v>6</v>
      </c>
      <c r="AO133" s="595"/>
      <c r="AP133" s="613" t="s">
        <v>45</v>
      </c>
      <c r="AQ133" s="614"/>
      <c r="AR133" s="625">
        <f>AN133*X135/1000</f>
        <v>0</v>
      </c>
      <c r="AS133" s="626"/>
      <c r="AT133" s="626"/>
      <c r="AU133" s="552" t="s">
        <v>42</v>
      </c>
      <c r="AV133" s="553"/>
      <c r="AW133" s="7"/>
      <c r="AX133" s="7"/>
    </row>
    <row r="134" spans="2:50" ht="13.5" customHeight="1">
      <c r="B134" s="689"/>
      <c r="C134" s="692"/>
      <c r="D134" s="693"/>
      <c r="E134" s="545"/>
      <c r="F134" s="546"/>
      <c r="G134" s="546"/>
      <c r="H134" s="547"/>
      <c r="I134" s="170" t="s">
        <v>47</v>
      </c>
      <c r="J134" s="23"/>
      <c r="K134" s="23"/>
      <c r="L134" s="23"/>
      <c r="M134" s="23"/>
      <c r="N134" s="23"/>
      <c r="O134" s="23"/>
      <c r="P134" s="23"/>
      <c r="Q134" s="171"/>
      <c r="R134" s="706">
        <f>$R$35</f>
        <v>440</v>
      </c>
      <c r="S134" s="707"/>
      <c r="T134" s="23" t="s">
        <v>48</v>
      </c>
      <c r="U134" s="23"/>
      <c r="V134" s="23"/>
      <c r="W134" s="23"/>
      <c r="X134" s="657">
        <f>IF('様式11-5'!U$1="LPG",AB$23,0)</f>
        <v>0</v>
      </c>
      <c r="Y134" s="644"/>
      <c r="Z134" s="23" t="s">
        <v>46</v>
      </c>
      <c r="AA134" s="23"/>
      <c r="AB134" s="23"/>
      <c r="AC134" s="24"/>
      <c r="AD134" s="23"/>
      <c r="AE134" s="23"/>
      <c r="AF134" s="23"/>
      <c r="AG134" s="23"/>
      <c r="AH134" s="558">
        <f>R134*X134</f>
        <v>0</v>
      </c>
      <c r="AI134" s="559"/>
      <c r="AJ134" s="559"/>
      <c r="AK134" s="560"/>
      <c r="AL134" s="617"/>
      <c r="AM134" s="618"/>
      <c r="AN134" s="594"/>
      <c r="AO134" s="595"/>
      <c r="AP134" s="613"/>
      <c r="AQ134" s="614"/>
      <c r="AR134" s="625"/>
      <c r="AS134" s="626"/>
      <c r="AT134" s="626"/>
      <c r="AU134" s="552"/>
      <c r="AV134" s="553"/>
      <c r="AW134" s="7"/>
      <c r="AX134" s="7"/>
    </row>
    <row r="135" spans="2:50" ht="13.5" customHeight="1" thickBot="1">
      <c r="B135" s="689"/>
      <c r="C135" s="694"/>
      <c r="D135" s="695"/>
      <c r="E135" s="708" t="s">
        <v>44</v>
      </c>
      <c r="F135" s="709"/>
      <c r="G135" s="709"/>
      <c r="H135" s="710"/>
      <c r="I135" s="163"/>
      <c r="J135" s="25"/>
      <c r="K135" s="25"/>
      <c r="L135" s="25"/>
      <c r="M135" s="25"/>
      <c r="N135" s="25"/>
      <c r="O135" s="25"/>
      <c r="P135" s="25"/>
      <c r="Q135" s="164"/>
      <c r="R135" s="254"/>
      <c r="S135" s="254"/>
      <c r="T135" s="25"/>
      <c r="U135" s="25"/>
      <c r="V135" s="25"/>
      <c r="W135" s="165"/>
      <c r="X135" s="716">
        <f>SUM(X134:Y134)</f>
        <v>0</v>
      </c>
      <c r="Y135" s="716"/>
      <c r="Z135" s="25" t="s">
        <v>43</v>
      </c>
      <c r="AA135" s="25"/>
      <c r="AB135" s="25"/>
      <c r="AC135" s="26"/>
      <c r="AD135" s="25"/>
      <c r="AE135" s="25"/>
      <c r="AF135" s="25"/>
      <c r="AG135" s="25"/>
      <c r="AH135" s="712">
        <f>SUM(AH133:AK134)</f>
        <v>1320</v>
      </c>
      <c r="AI135" s="713"/>
      <c r="AJ135" s="713"/>
      <c r="AK135" s="714"/>
      <c r="AL135" s="619"/>
      <c r="AM135" s="620"/>
      <c r="AN135" s="621"/>
      <c r="AO135" s="622"/>
      <c r="AP135" s="623"/>
      <c r="AQ135" s="624"/>
      <c r="AR135" s="627"/>
      <c r="AS135" s="628"/>
      <c r="AT135" s="628"/>
      <c r="AU135" s="554"/>
      <c r="AV135" s="555"/>
      <c r="AW135" s="7"/>
      <c r="AX135" s="7"/>
    </row>
    <row r="136" spans="2:50" ht="13.5" customHeight="1">
      <c r="B136" s="696" t="s">
        <v>80</v>
      </c>
      <c r="C136" s="697"/>
      <c r="D136" s="697"/>
      <c r="E136" s="698" t="s">
        <v>2</v>
      </c>
      <c r="F136" s="697"/>
      <c r="G136" s="697"/>
      <c r="H136" s="699"/>
      <c r="I136" s="698" t="s">
        <v>79</v>
      </c>
      <c r="J136" s="697"/>
      <c r="K136" s="697"/>
      <c r="L136" s="697"/>
      <c r="M136" s="697"/>
      <c r="N136" s="697"/>
      <c r="O136" s="697"/>
      <c r="P136" s="697"/>
      <c r="Q136" s="699"/>
      <c r="R136" s="698" t="s">
        <v>78</v>
      </c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9"/>
      <c r="AH136" s="698" t="s">
        <v>77</v>
      </c>
      <c r="AI136" s="697"/>
      <c r="AJ136" s="697"/>
      <c r="AK136" s="700"/>
      <c r="AL136" s="605" t="s">
        <v>2</v>
      </c>
      <c r="AM136" s="606"/>
      <c r="AN136" s="680" t="s">
        <v>76</v>
      </c>
      <c r="AO136" s="681"/>
      <c r="AP136" s="681"/>
      <c r="AQ136" s="682"/>
      <c r="AR136" s="680" t="s">
        <v>75</v>
      </c>
      <c r="AS136" s="681"/>
      <c r="AT136" s="681"/>
      <c r="AU136" s="681"/>
      <c r="AV136" s="683"/>
      <c r="AW136" s="7"/>
      <c r="AX136" s="7"/>
    </row>
    <row r="137" spans="2:50" ht="13.5" customHeight="1">
      <c r="B137" s="688" t="s">
        <v>128</v>
      </c>
      <c r="C137" s="690" t="s">
        <v>74</v>
      </c>
      <c r="D137" s="691"/>
      <c r="E137" s="542" t="s">
        <v>73</v>
      </c>
      <c r="F137" s="543"/>
      <c r="G137" s="543"/>
      <c r="H137" s="544"/>
      <c r="I137" s="146" t="s">
        <v>54</v>
      </c>
      <c r="J137" s="28"/>
      <c r="K137" s="28"/>
      <c r="L137" s="28"/>
      <c r="M137" s="28"/>
      <c r="N137" s="28"/>
      <c r="O137" s="28"/>
      <c r="P137" s="28"/>
      <c r="Q137" s="147"/>
      <c r="R137" s="548">
        <f>IF($AJ$16+$AJ$18+$AJ$20=0,0,料金単価!$C$3)</f>
        <v>1285.8699999999999</v>
      </c>
      <c r="S137" s="548"/>
      <c r="T137" s="28" t="s">
        <v>71</v>
      </c>
      <c r="U137" s="28"/>
      <c r="V137" s="28"/>
      <c r="W137" s="549">
        <f>$W$27</f>
        <v>3.2329411764705891</v>
      </c>
      <c r="X137" s="549"/>
      <c r="Y137" s="28" t="s">
        <v>70</v>
      </c>
      <c r="Z137" s="28"/>
      <c r="AA137" s="28">
        <v>1</v>
      </c>
      <c r="AB137" s="28" t="s">
        <v>69</v>
      </c>
      <c r="AC137" s="28"/>
      <c r="AD137" s="36">
        <v>0.85</v>
      </c>
      <c r="AE137" s="28" t="s">
        <v>68</v>
      </c>
      <c r="AF137" s="28"/>
      <c r="AG137" s="28"/>
      <c r="AH137" s="640">
        <f>R137*W137*AA137*AD137</f>
        <v>3533.570760000001</v>
      </c>
      <c r="AI137" s="641"/>
      <c r="AJ137" s="641"/>
      <c r="AK137" s="642"/>
      <c r="AL137" s="633" t="s">
        <v>0</v>
      </c>
      <c r="AM137" s="634"/>
      <c r="AN137" s="659">
        <f>AN38</f>
        <v>0.44900000000000001</v>
      </c>
      <c r="AO137" s="660"/>
      <c r="AP137" s="661" t="s">
        <v>72</v>
      </c>
      <c r="AQ137" s="662"/>
      <c r="AR137" s="663">
        <f>AN137*AB140/1000</f>
        <v>2.2819764705882359E-2</v>
      </c>
      <c r="AS137" s="664"/>
      <c r="AT137" s="664"/>
      <c r="AU137" s="661" t="s">
        <v>42</v>
      </c>
      <c r="AV137" s="674"/>
      <c r="AW137" s="7"/>
      <c r="AX137" s="7"/>
    </row>
    <row r="138" spans="2:50" ht="13.5" customHeight="1">
      <c r="B138" s="689"/>
      <c r="C138" s="692"/>
      <c r="D138" s="693"/>
      <c r="E138" s="545"/>
      <c r="F138" s="546"/>
      <c r="G138" s="546"/>
      <c r="H138" s="547"/>
      <c r="I138" s="677" t="s">
        <v>47</v>
      </c>
      <c r="J138" s="618"/>
      <c r="K138" s="678"/>
      <c r="L138" s="679" t="s">
        <v>203</v>
      </c>
      <c r="M138" s="618"/>
      <c r="N138" s="618"/>
      <c r="O138" s="678"/>
      <c r="P138" s="643" t="s">
        <v>197</v>
      </c>
      <c r="Q138" s="646"/>
      <c r="R138" s="34" t="s">
        <v>157</v>
      </c>
      <c r="S138" s="33">
        <f>IF(P138="夏季",料金単価!$D$3,料金単価!$E$3)</f>
        <v>12.63</v>
      </c>
      <c r="T138" s="148" t="s">
        <v>62</v>
      </c>
      <c r="U138" s="149">
        <f>$U$28</f>
        <v>7.29</v>
      </c>
      <c r="V138" s="148" t="s">
        <v>62</v>
      </c>
      <c r="W138" s="150">
        <f>$W$28</f>
        <v>3.45</v>
      </c>
      <c r="X138" s="151" t="s">
        <v>64</v>
      </c>
      <c r="Y138" s="24" t="s">
        <v>61</v>
      </c>
      <c r="Z138" s="151"/>
      <c r="AA138" s="32"/>
      <c r="AB138" s="702">
        <f>AD$17+AD$19+AD$21</f>
        <v>50.823529411764717</v>
      </c>
      <c r="AC138" s="702"/>
      <c r="AD138" s="24" t="s">
        <v>63</v>
      </c>
      <c r="AE138" s="24"/>
      <c r="AF138" s="24"/>
      <c r="AG138" s="152"/>
      <c r="AH138" s="648">
        <f>(S138+U138+W138)*AB138</f>
        <v>1187.7458823529414</v>
      </c>
      <c r="AI138" s="649"/>
      <c r="AJ138" s="649"/>
      <c r="AK138" s="650"/>
      <c r="AL138" s="617"/>
      <c r="AM138" s="618"/>
      <c r="AN138" s="594"/>
      <c r="AO138" s="595"/>
      <c r="AP138" s="613"/>
      <c r="AQ138" s="614"/>
      <c r="AR138" s="625"/>
      <c r="AS138" s="626"/>
      <c r="AT138" s="626"/>
      <c r="AU138" s="613"/>
      <c r="AV138" s="675"/>
      <c r="AW138" s="7"/>
      <c r="AX138" s="7"/>
    </row>
    <row r="139" spans="2:50" ht="13.5" customHeight="1">
      <c r="B139" s="689"/>
      <c r="C139" s="692"/>
      <c r="D139" s="693"/>
      <c r="E139" s="545"/>
      <c r="F139" s="546"/>
      <c r="G139" s="546"/>
      <c r="H139" s="547"/>
      <c r="I139" s="255"/>
      <c r="J139" s="252"/>
      <c r="K139" s="252"/>
      <c r="L139" s="259"/>
      <c r="M139" s="259"/>
      <c r="N139" s="259"/>
      <c r="O139" s="259"/>
      <c r="P139" s="259"/>
      <c r="Q139" s="256"/>
      <c r="R139" s="31"/>
      <c r="S139" s="157" t="s">
        <v>60</v>
      </c>
      <c r="T139" s="175"/>
      <c r="U139" s="176" t="s">
        <v>59</v>
      </c>
      <c r="V139" s="175"/>
      <c r="W139" s="160" t="s">
        <v>58</v>
      </c>
      <c r="Y139" s="30"/>
      <c r="AA139" s="10"/>
      <c r="AB139" s="52"/>
      <c r="AC139" s="52"/>
      <c r="AD139" s="30"/>
      <c r="AE139" s="30"/>
      <c r="AF139" s="30"/>
      <c r="AG139" s="253"/>
      <c r="AH139" s="703"/>
      <c r="AI139" s="704"/>
      <c r="AJ139" s="704"/>
      <c r="AK139" s="705"/>
      <c r="AL139" s="617"/>
      <c r="AM139" s="618"/>
      <c r="AN139" s="594"/>
      <c r="AO139" s="595"/>
      <c r="AP139" s="613"/>
      <c r="AQ139" s="614"/>
      <c r="AR139" s="625"/>
      <c r="AS139" s="626"/>
      <c r="AT139" s="626"/>
      <c r="AU139" s="613"/>
      <c r="AV139" s="675"/>
      <c r="AW139" s="7"/>
      <c r="AX139" s="7"/>
    </row>
    <row r="140" spans="2:50" ht="13.5" customHeight="1">
      <c r="B140" s="689"/>
      <c r="C140" s="694"/>
      <c r="D140" s="695"/>
      <c r="E140" s="708" t="s">
        <v>44</v>
      </c>
      <c r="F140" s="709"/>
      <c r="G140" s="709"/>
      <c r="H140" s="710"/>
      <c r="I140" s="163"/>
      <c r="J140" s="25"/>
      <c r="K140" s="25"/>
      <c r="L140" s="25"/>
      <c r="M140" s="25"/>
      <c r="N140" s="25"/>
      <c r="O140" s="25"/>
      <c r="P140" s="25"/>
      <c r="Q140" s="164"/>
      <c r="R140" s="254"/>
      <c r="S140" s="254"/>
      <c r="T140" s="25"/>
      <c r="U140" s="25"/>
      <c r="V140" s="25"/>
      <c r="W140" s="165"/>
      <c r="X140" s="260"/>
      <c r="Y140" s="260"/>
      <c r="Z140" s="167"/>
      <c r="AA140" s="168"/>
      <c r="AB140" s="711">
        <f>SUM(AB138:AC138)</f>
        <v>50.823529411764717</v>
      </c>
      <c r="AC140" s="711"/>
      <c r="AD140" s="169" t="s">
        <v>57</v>
      </c>
      <c r="AE140" s="25"/>
      <c r="AF140" s="25"/>
      <c r="AG140" s="25"/>
      <c r="AH140" s="712">
        <f>SUM(AH137:AK138)</f>
        <v>4721.3166423529419</v>
      </c>
      <c r="AI140" s="713"/>
      <c r="AJ140" s="713"/>
      <c r="AK140" s="714"/>
      <c r="AL140" s="617"/>
      <c r="AM140" s="618"/>
      <c r="AN140" s="594"/>
      <c r="AO140" s="595"/>
      <c r="AP140" s="613"/>
      <c r="AQ140" s="614"/>
      <c r="AR140" s="625"/>
      <c r="AS140" s="626"/>
      <c r="AT140" s="626"/>
      <c r="AU140" s="613"/>
      <c r="AV140" s="675"/>
      <c r="AW140" s="7"/>
      <c r="AX140" s="7"/>
    </row>
    <row r="141" spans="2:50" ht="13.5" customHeight="1">
      <c r="B141" s="689"/>
      <c r="C141" s="690" t="s">
        <v>56</v>
      </c>
      <c r="D141" s="691"/>
      <c r="E141" s="638" t="s">
        <v>55</v>
      </c>
      <c r="F141" s="543"/>
      <c r="G141" s="543"/>
      <c r="H141" s="544"/>
      <c r="I141" s="146" t="s">
        <v>54</v>
      </c>
      <c r="J141" s="28"/>
      <c r="K141" s="28"/>
      <c r="L141" s="28"/>
      <c r="M141" s="28"/>
      <c r="N141" s="28"/>
      <c r="O141" s="28"/>
      <c r="P141" s="28"/>
      <c r="Q141" s="147"/>
      <c r="R141" s="37" t="s">
        <v>111</v>
      </c>
      <c r="S141" s="639">
        <f>IF('様式11-5'!U$1="LPG",0,IF(AD$22&lt;50,料金単価!$C$7,(IF(AD$22&lt;100,料金単価!$C$8,IF($AD$22&lt;250,料金単価!$C$9,IF($AD$22&lt;500,料金単価!$C$10,IF($AD$22&lt;800,料金単価!$C$11,料金単価!$C$12)))))))</f>
        <v>0</v>
      </c>
      <c r="T141" s="639"/>
      <c r="U141" s="28" t="s">
        <v>53</v>
      </c>
      <c r="V141" s="54"/>
      <c r="W141" s="29"/>
      <c r="X141" s="29"/>
      <c r="Y141" s="29"/>
      <c r="Z141" s="29"/>
      <c r="AA141" s="29"/>
      <c r="AB141" s="28">
        <v>1</v>
      </c>
      <c r="AC141" s="251" t="s">
        <v>51</v>
      </c>
      <c r="AD141" s="28"/>
      <c r="AE141" s="28"/>
      <c r="AF141" s="28"/>
      <c r="AG141" s="28"/>
      <c r="AH141" s="640">
        <f>IF($AH$22+$AH$23=0,0,S141*AB141)</f>
        <v>0</v>
      </c>
      <c r="AI141" s="641"/>
      <c r="AJ141" s="641"/>
      <c r="AK141" s="642"/>
      <c r="AL141" s="658" t="s">
        <v>55</v>
      </c>
      <c r="AM141" s="634"/>
      <c r="AN141" s="659">
        <f>AN42</f>
        <v>2.29</v>
      </c>
      <c r="AO141" s="660"/>
      <c r="AP141" s="661" t="s">
        <v>45</v>
      </c>
      <c r="AQ141" s="662"/>
      <c r="AR141" s="663">
        <f>AN141*Z143/1000</f>
        <v>0</v>
      </c>
      <c r="AS141" s="664"/>
      <c r="AT141" s="664"/>
      <c r="AU141" s="550" t="s">
        <v>42</v>
      </c>
      <c r="AV141" s="551"/>
      <c r="AW141" s="7"/>
      <c r="AX141" s="7"/>
    </row>
    <row r="142" spans="2:50" ht="13.5" customHeight="1">
      <c r="B142" s="689"/>
      <c r="C142" s="692"/>
      <c r="D142" s="693"/>
      <c r="E142" s="545"/>
      <c r="F142" s="546"/>
      <c r="G142" s="546"/>
      <c r="H142" s="547"/>
      <c r="I142" s="170" t="s">
        <v>47</v>
      </c>
      <c r="J142" s="23"/>
      <c r="K142" s="23"/>
      <c r="L142" s="23"/>
      <c r="M142" s="23"/>
      <c r="N142" s="23"/>
      <c r="O142" s="23"/>
      <c r="P142" s="23" t="s">
        <v>50</v>
      </c>
      <c r="Q142" s="171"/>
      <c r="R142" s="34" t="s">
        <v>111</v>
      </c>
      <c r="S142" s="556">
        <f>IF(P142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42" s="556"/>
      <c r="U142" s="23" t="s">
        <v>48</v>
      </c>
      <c r="V142" s="172" t="s">
        <v>110</v>
      </c>
      <c r="W142" s="173">
        <f>W131</f>
        <v>14.55</v>
      </c>
      <c r="X142" s="258" t="s">
        <v>112</v>
      </c>
      <c r="Y142" s="259" t="s">
        <v>113</v>
      </c>
      <c r="Z142" s="665">
        <f>IF('様式11-5'!U$1="LPG",0,AD$22)</f>
        <v>0</v>
      </c>
      <c r="AA142" s="665"/>
      <c r="AB142" s="23" t="s">
        <v>46</v>
      </c>
      <c r="AC142" s="23"/>
      <c r="AD142" s="23"/>
      <c r="AE142" s="23"/>
      <c r="AF142" s="23"/>
      <c r="AG142" s="23"/>
      <c r="AH142" s="558">
        <f>(S142+W142)*Z142</f>
        <v>0</v>
      </c>
      <c r="AI142" s="559"/>
      <c r="AJ142" s="559"/>
      <c r="AK142" s="560"/>
      <c r="AL142" s="617"/>
      <c r="AM142" s="618"/>
      <c r="AN142" s="594"/>
      <c r="AO142" s="595"/>
      <c r="AP142" s="613"/>
      <c r="AQ142" s="614"/>
      <c r="AR142" s="625"/>
      <c r="AS142" s="626"/>
      <c r="AT142" s="626"/>
      <c r="AU142" s="552"/>
      <c r="AV142" s="553"/>
      <c r="AW142" s="7"/>
      <c r="AX142" s="7"/>
    </row>
    <row r="143" spans="2:50" ht="13.5" customHeight="1">
      <c r="B143" s="689"/>
      <c r="C143" s="692"/>
      <c r="D143" s="693"/>
      <c r="E143" s="708" t="s">
        <v>44</v>
      </c>
      <c r="F143" s="709"/>
      <c r="G143" s="709"/>
      <c r="H143" s="710"/>
      <c r="I143" s="163"/>
      <c r="J143" s="25"/>
      <c r="K143" s="25"/>
      <c r="L143" s="25"/>
      <c r="M143" s="25"/>
      <c r="N143" s="25"/>
      <c r="O143" s="25"/>
      <c r="P143" s="25"/>
      <c r="Q143" s="164"/>
      <c r="R143" s="254"/>
      <c r="S143" s="254"/>
      <c r="T143" s="25"/>
      <c r="U143" s="25"/>
      <c r="V143" s="25"/>
      <c r="W143" s="165"/>
      <c r="X143" s="260"/>
      <c r="Y143" s="260"/>
      <c r="Z143" s="715">
        <f>SUM(Z142:Z142)</f>
        <v>0</v>
      </c>
      <c r="AA143" s="715"/>
      <c r="AB143" s="167" t="s">
        <v>43</v>
      </c>
      <c r="AC143" s="167"/>
      <c r="AD143" s="25"/>
      <c r="AE143" s="25"/>
      <c r="AF143" s="25"/>
      <c r="AG143" s="25"/>
      <c r="AH143" s="712">
        <f>SUM(AH141:AK142)</f>
        <v>0</v>
      </c>
      <c r="AI143" s="713"/>
      <c r="AJ143" s="713"/>
      <c r="AK143" s="714"/>
      <c r="AL143" s="619"/>
      <c r="AM143" s="620"/>
      <c r="AN143" s="621"/>
      <c r="AO143" s="622"/>
      <c r="AP143" s="623"/>
      <c r="AQ143" s="624"/>
      <c r="AR143" s="627"/>
      <c r="AS143" s="628"/>
      <c r="AT143" s="628"/>
      <c r="AU143" s="554"/>
      <c r="AV143" s="555"/>
      <c r="AW143" s="7"/>
      <c r="AX143" s="7"/>
    </row>
    <row r="144" spans="2:50" ht="13.5" customHeight="1">
      <c r="B144" s="689"/>
      <c r="C144" s="692"/>
      <c r="D144" s="693"/>
      <c r="E144" s="638" t="s">
        <v>52</v>
      </c>
      <c r="F144" s="543"/>
      <c r="G144" s="543"/>
      <c r="H144" s="544"/>
      <c r="I144" s="146" t="s">
        <v>54</v>
      </c>
      <c r="J144" s="28"/>
      <c r="K144" s="28"/>
      <c r="L144" s="28"/>
      <c r="M144" s="28"/>
      <c r="N144" s="28"/>
      <c r="O144" s="28"/>
      <c r="P144" s="28"/>
      <c r="Q144" s="147"/>
      <c r="R144" s="641">
        <f>$R$34</f>
        <v>1320</v>
      </c>
      <c r="S144" s="641"/>
      <c r="T144" s="28" t="s">
        <v>53</v>
      </c>
      <c r="U144" s="28"/>
      <c r="V144" s="29"/>
      <c r="W144" s="29"/>
      <c r="X144" s="29"/>
      <c r="Y144" s="29"/>
      <c r="Z144" s="29"/>
      <c r="AA144" s="29"/>
      <c r="AB144" s="28">
        <v>1</v>
      </c>
      <c r="AC144" s="251" t="s">
        <v>51</v>
      </c>
      <c r="AD144" s="28"/>
      <c r="AE144" s="28"/>
      <c r="AF144" s="28"/>
      <c r="AG144" s="28"/>
      <c r="AH144" s="640">
        <f>IF($AH$22+$AH$23=0,0,R144*AB144)</f>
        <v>1320</v>
      </c>
      <c r="AI144" s="641"/>
      <c r="AJ144" s="641"/>
      <c r="AK144" s="642"/>
      <c r="AL144" s="617" t="s">
        <v>52</v>
      </c>
      <c r="AM144" s="618"/>
      <c r="AN144" s="594">
        <f>AN45</f>
        <v>6</v>
      </c>
      <c r="AO144" s="595"/>
      <c r="AP144" s="613" t="s">
        <v>45</v>
      </c>
      <c r="AQ144" s="614"/>
      <c r="AR144" s="625">
        <f>AN144*X146/1000</f>
        <v>0</v>
      </c>
      <c r="AS144" s="626"/>
      <c r="AT144" s="626"/>
      <c r="AU144" s="552" t="s">
        <v>42</v>
      </c>
      <c r="AV144" s="553"/>
      <c r="AW144" s="7"/>
      <c r="AX144" s="7"/>
    </row>
    <row r="145" spans="2:50" ht="13.5" customHeight="1">
      <c r="B145" s="689"/>
      <c r="C145" s="692"/>
      <c r="D145" s="693"/>
      <c r="E145" s="545"/>
      <c r="F145" s="546"/>
      <c r="G145" s="546"/>
      <c r="H145" s="547"/>
      <c r="I145" s="170" t="s">
        <v>47</v>
      </c>
      <c r="J145" s="23"/>
      <c r="K145" s="23"/>
      <c r="L145" s="23"/>
      <c r="M145" s="23"/>
      <c r="N145" s="23"/>
      <c r="O145" s="23"/>
      <c r="P145" s="23"/>
      <c r="Q145" s="171"/>
      <c r="R145" s="706">
        <f>$R$35</f>
        <v>440</v>
      </c>
      <c r="S145" s="707"/>
      <c r="T145" s="23" t="s">
        <v>48</v>
      </c>
      <c r="U145" s="23"/>
      <c r="V145" s="23"/>
      <c r="W145" s="23"/>
      <c r="X145" s="657">
        <f>IF('様式11-5'!U$1="LPG",AB$23,0)</f>
        <v>0</v>
      </c>
      <c r="Y145" s="644"/>
      <c r="Z145" s="23" t="s">
        <v>46</v>
      </c>
      <c r="AA145" s="23"/>
      <c r="AB145" s="23"/>
      <c r="AC145" s="24"/>
      <c r="AD145" s="23"/>
      <c r="AE145" s="23"/>
      <c r="AF145" s="23"/>
      <c r="AG145" s="23"/>
      <c r="AH145" s="558">
        <f>R145*X145</f>
        <v>0</v>
      </c>
      <c r="AI145" s="559"/>
      <c r="AJ145" s="559"/>
      <c r="AK145" s="560"/>
      <c r="AL145" s="617"/>
      <c r="AM145" s="618"/>
      <c r="AN145" s="594"/>
      <c r="AO145" s="595"/>
      <c r="AP145" s="613"/>
      <c r="AQ145" s="614"/>
      <c r="AR145" s="625"/>
      <c r="AS145" s="626"/>
      <c r="AT145" s="626"/>
      <c r="AU145" s="552"/>
      <c r="AV145" s="553"/>
      <c r="AW145" s="7"/>
      <c r="AX145" s="7"/>
    </row>
    <row r="146" spans="2:50" ht="13.5" customHeight="1" thickBot="1">
      <c r="B146" s="689"/>
      <c r="C146" s="694"/>
      <c r="D146" s="695"/>
      <c r="E146" s="708" t="s">
        <v>44</v>
      </c>
      <c r="F146" s="709"/>
      <c r="G146" s="709"/>
      <c r="H146" s="710"/>
      <c r="I146" s="163"/>
      <c r="J146" s="25"/>
      <c r="K146" s="25"/>
      <c r="L146" s="25"/>
      <c r="M146" s="25"/>
      <c r="N146" s="25"/>
      <c r="O146" s="25"/>
      <c r="P146" s="25"/>
      <c r="Q146" s="164"/>
      <c r="R146" s="254"/>
      <c r="S146" s="254"/>
      <c r="T146" s="25"/>
      <c r="U146" s="25"/>
      <c r="V146" s="25"/>
      <c r="W146" s="165"/>
      <c r="X146" s="716">
        <f>SUM(X145:Y145)</f>
        <v>0</v>
      </c>
      <c r="Y146" s="716"/>
      <c r="Z146" s="25" t="s">
        <v>43</v>
      </c>
      <c r="AA146" s="25"/>
      <c r="AB146" s="25"/>
      <c r="AC146" s="26"/>
      <c r="AD146" s="25"/>
      <c r="AE146" s="25"/>
      <c r="AF146" s="25"/>
      <c r="AG146" s="25"/>
      <c r="AH146" s="712">
        <f>SUM(AH144:AK145)</f>
        <v>1320</v>
      </c>
      <c r="AI146" s="713"/>
      <c r="AJ146" s="713"/>
      <c r="AK146" s="714"/>
      <c r="AL146" s="619"/>
      <c r="AM146" s="620"/>
      <c r="AN146" s="621"/>
      <c r="AO146" s="622"/>
      <c r="AP146" s="623"/>
      <c r="AQ146" s="624"/>
      <c r="AR146" s="627"/>
      <c r="AS146" s="628"/>
      <c r="AT146" s="628"/>
      <c r="AU146" s="554"/>
      <c r="AV146" s="555"/>
      <c r="AW146" s="7"/>
      <c r="AX146" s="7"/>
    </row>
    <row r="147" spans="2:50" ht="13.5" customHeight="1">
      <c r="B147" s="696" t="s">
        <v>80</v>
      </c>
      <c r="C147" s="697"/>
      <c r="D147" s="697"/>
      <c r="E147" s="698" t="s">
        <v>2</v>
      </c>
      <c r="F147" s="697"/>
      <c r="G147" s="697"/>
      <c r="H147" s="699"/>
      <c r="I147" s="698" t="s">
        <v>79</v>
      </c>
      <c r="J147" s="697"/>
      <c r="K147" s="697"/>
      <c r="L147" s="697"/>
      <c r="M147" s="697"/>
      <c r="N147" s="697"/>
      <c r="O147" s="697"/>
      <c r="P147" s="697"/>
      <c r="Q147" s="699"/>
      <c r="R147" s="698" t="s">
        <v>78</v>
      </c>
      <c r="S147" s="697"/>
      <c r="T147" s="697"/>
      <c r="U147" s="697"/>
      <c r="V147" s="697"/>
      <c r="W147" s="697"/>
      <c r="X147" s="697"/>
      <c r="Y147" s="697"/>
      <c r="Z147" s="697"/>
      <c r="AA147" s="697"/>
      <c r="AB147" s="697"/>
      <c r="AC147" s="697"/>
      <c r="AD147" s="697"/>
      <c r="AE147" s="697"/>
      <c r="AF147" s="697"/>
      <c r="AG147" s="699"/>
      <c r="AH147" s="698" t="s">
        <v>77</v>
      </c>
      <c r="AI147" s="697"/>
      <c r="AJ147" s="697"/>
      <c r="AK147" s="700"/>
      <c r="AL147" s="605" t="s">
        <v>2</v>
      </c>
      <c r="AM147" s="606"/>
      <c r="AN147" s="680" t="s">
        <v>76</v>
      </c>
      <c r="AO147" s="681"/>
      <c r="AP147" s="681"/>
      <c r="AQ147" s="682"/>
      <c r="AR147" s="680" t="s">
        <v>75</v>
      </c>
      <c r="AS147" s="681"/>
      <c r="AT147" s="681"/>
      <c r="AU147" s="681"/>
      <c r="AV147" s="683"/>
      <c r="AW147" s="7"/>
      <c r="AX147" s="7"/>
    </row>
    <row r="148" spans="2:50" ht="13.5" customHeight="1">
      <c r="B148" s="688" t="s">
        <v>109</v>
      </c>
      <c r="C148" s="690" t="s">
        <v>74</v>
      </c>
      <c r="D148" s="691"/>
      <c r="E148" s="542" t="s">
        <v>73</v>
      </c>
      <c r="F148" s="543"/>
      <c r="G148" s="543"/>
      <c r="H148" s="544"/>
      <c r="I148" s="146" t="s">
        <v>54</v>
      </c>
      <c r="J148" s="28"/>
      <c r="K148" s="28"/>
      <c r="L148" s="28"/>
      <c r="M148" s="28"/>
      <c r="N148" s="28"/>
      <c r="O148" s="28"/>
      <c r="P148" s="28"/>
      <c r="Q148" s="147"/>
      <c r="R148" s="548">
        <f>IF($AJ$16+$AJ$18+$AJ$20=0,0,料金単価!$C$3)</f>
        <v>1285.8699999999999</v>
      </c>
      <c r="S148" s="548"/>
      <c r="T148" s="28" t="s">
        <v>71</v>
      </c>
      <c r="U148" s="28"/>
      <c r="V148" s="28"/>
      <c r="W148" s="549">
        <f>$W$27</f>
        <v>3.2329411764705891</v>
      </c>
      <c r="X148" s="549"/>
      <c r="Y148" s="28" t="s">
        <v>70</v>
      </c>
      <c r="Z148" s="28"/>
      <c r="AA148" s="28">
        <v>1</v>
      </c>
      <c r="AB148" s="28" t="s">
        <v>69</v>
      </c>
      <c r="AC148" s="28"/>
      <c r="AD148" s="36">
        <v>0.85</v>
      </c>
      <c r="AE148" s="28" t="s">
        <v>68</v>
      </c>
      <c r="AF148" s="28"/>
      <c r="AG148" s="28"/>
      <c r="AH148" s="640">
        <f>R148*W148*AA148*AD148</f>
        <v>3533.570760000001</v>
      </c>
      <c r="AI148" s="641"/>
      <c r="AJ148" s="641"/>
      <c r="AK148" s="642"/>
      <c r="AL148" s="633" t="s">
        <v>0</v>
      </c>
      <c r="AM148" s="634"/>
      <c r="AN148" s="659">
        <f>AN49</f>
        <v>0.44900000000000001</v>
      </c>
      <c r="AO148" s="660"/>
      <c r="AP148" s="661" t="s">
        <v>72</v>
      </c>
      <c r="AQ148" s="662"/>
      <c r="AR148" s="663">
        <f>AN148*AB151/1000</f>
        <v>2.3580423529411771E-2</v>
      </c>
      <c r="AS148" s="664"/>
      <c r="AT148" s="664"/>
      <c r="AU148" s="661" t="s">
        <v>42</v>
      </c>
      <c r="AV148" s="674"/>
      <c r="AW148" s="7"/>
      <c r="AX148" s="7"/>
    </row>
    <row r="149" spans="2:50" ht="13.5" customHeight="1">
      <c r="B149" s="689"/>
      <c r="C149" s="692"/>
      <c r="D149" s="693"/>
      <c r="E149" s="545"/>
      <c r="F149" s="546"/>
      <c r="G149" s="546"/>
      <c r="H149" s="547"/>
      <c r="I149" s="677" t="s">
        <v>47</v>
      </c>
      <c r="J149" s="618"/>
      <c r="K149" s="678"/>
      <c r="L149" s="679" t="s">
        <v>67</v>
      </c>
      <c r="M149" s="618"/>
      <c r="N149" s="618"/>
      <c r="O149" s="678"/>
      <c r="P149" s="643" t="s">
        <v>197</v>
      </c>
      <c r="Q149" s="646"/>
      <c r="R149" s="34" t="s">
        <v>157</v>
      </c>
      <c r="S149" s="33">
        <f>IF(P149="夏季",料金単価!$D$3,料金単価!$E$3)</f>
        <v>12.63</v>
      </c>
      <c r="T149" s="148" t="s">
        <v>62</v>
      </c>
      <c r="U149" s="149">
        <f>$U$28</f>
        <v>7.29</v>
      </c>
      <c r="V149" s="148" t="s">
        <v>62</v>
      </c>
      <c r="W149" s="150">
        <f>$W$28</f>
        <v>3.45</v>
      </c>
      <c r="X149" s="151" t="s">
        <v>64</v>
      </c>
      <c r="Y149" s="24" t="s">
        <v>61</v>
      </c>
      <c r="Z149" s="151"/>
      <c r="AA149" s="32"/>
      <c r="AB149" s="702">
        <f>AF$17+AF$19+AF$21</f>
        <v>52.517647058823542</v>
      </c>
      <c r="AC149" s="702"/>
      <c r="AD149" s="24" t="s">
        <v>63</v>
      </c>
      <c r="AE149" s="24"/>
      <c r="AF149" s="24"/>
      <c r="AG149" s="152"/>
      <c r="AH149" s="648">
        <f>(S149+U149+W149)*AB149</f>
        <v>1227.3374117647063</v>
      </c>
      <c r="AI149" s="649"/>
      <c r="AJ149" s="649"/>
      <c r="AK149" s="650"/>
      <c r="AL149" s="617"/>
      <c r="AM149" s="618"/>
      <c r="AN149" s="594"/>
      <c r="AO149" s="595"/>
      <c r="AP149" s="613"/>
      <c r="AQ149" s="614"/>
      <c r="AR149" s="625"/>
      <c r="AS149" s="626"/>
      <c r="AT149" s="626"/>
      <c r="AU149" s="613"/>
      <c r="AV149" s="675"/>
      <c r="AW149" s="7"/>
      <c r="AX149" s="7"/>
    </row>
    <row r="150" spans="2:50" ht="13.5" customHeight="1">
      <c r="B150" s="689"/>
      <c r="C150" s="692"/>
      <c r="D150" s="693"/>
      <c r="E150" s="545"/>
      <c r="F150" s="546"/>
      <c r="G150" s="546"/>
      <c r="H150" s="547"/>
      <c r="I150" s="255"/>
      <c r="J150" s="252"/>
      <c r="K150" s="252"/>
      <c r="L150" s="259"/>
      <c r="M150" s="259"/>
      <c r="N150" s="259"/>
      <c r="O150" s="259"/>
      <c r="P150" s="259"/>
      <c r="Q150" s="256"/>
      <c r="R150" s="31"/>
      <c r="S150" s="157" t="s">
        <v>60</v>
      </c>
      <c r="T150" s="175"/>
      <c r="U150" s="176" t="s">
        <v>59</v>
      </c>
      <c r="V150" s="175"/>
      <c r="W150" s="160" t="s">
        <v>58</v>
      </c>
      <c r="Y150" s="30"/>
      <c r="AA150" s="10"/>
      <c r="AB150" s="52"/>
      <c r="AC150" s="52"/>
      <c r="AD150" s="30"/>
      <c r="AE150" s="30"/>
      <c r="AF150" s="30"/>
      <c r="AG150" s="253"/>
      <c r="AH150" s="703"/>
      <c r="AI150" s="704"/>
      <c r="AJ150" s="704"/>
      <c r="AK150" s="705"/>
      <c r="AL150" s="617"/>
      <c r="AM150" s="618"/>
      <c r="AN150" s="594"/>
      <c r="AO150" s="595"/>
      <c r="AP150" s="613"/>
      <c r="AQ150" s="614"/>
      <c r="AR150" s="625"/>
      <c r="AS150" s="626"/>
      <c r="AT150" s="626"/>
      <c r="AU150" s="613"/>
      <c r="AV150" s="675"/>
      <c r="AW150" s="7"/>
      <c r="AX150" s="7"/>
    </row>
    <row r="151" spans="2:50" ht="13.5" customHeight="1">
      <c r="B151" s="689"/>
      <c r="C151" s="694"/>
      <c r="D151" s="695"/>
      <c r="E151" s="708" t="s">
        <v>44</v>
      </c>
      <c r="F151" s="709"/>
      <c r="G151" s="709"/>
      <c r="H151" s="710"/>
      <c r="I151" s="163"/>
      <c r="J151" s="25"/>
      <c r="K151" s="25"/>
      <c r="L151" s="25"/>
      <c r="M151" s="25"/>
      <c r="N151" s="25"/>
      <c r="O151" s="25"/>
      <c r="P151" s="25"/>
      <c r="Q151" s="164"/>
      <c r="R151" s="254"/>
      <c r="S151" s="254"/>
      <c r="T151" s="25"/>
      <c r="U151" s="25"/>
      <c r="V151" s="25"/>
      <c r="W151" s="165"/>
      <c r="X151" s="260"/>
      <c r="Y151" s="260"/>
      <c r="Z151" s="167"/>
      <c r="AA151" s="168"/>
      <c r="AB151" s="711">
        <f>SUM(AB149:AC149)</f>
        <v>52.517647058823542</v>
      </c>
      <c r="AC151" s="711"/>
      <c r="AD151" s="169" t="s">
        <v>57</v>
      </c>
      <c r="AE151" s="25"/>
      <c r="AF151" s="25"/>
      <c r="AG151" s="25"/>
      <c r="AH151" s="712">
        <f>SUM(AH148:AK149)</f>
        <v>4760.9081717647077</v>
      </c>
      <c r="AI151" s="713"/>
      <c r="AJ151" s="713"/>
      <c r="AK151" s="714"/>
      <c r="AL151" s="617"/>
      <c r="AM151" s="618"/>
      <c r="AN151" s="594"/>
      <c r="AO151" s="595"/>
      <c r="AP151" s="613"/>
      <c r="AQ151" s="614"/>
      <c r="AR151" s="625"/>
      <c r="AS151" s="626"/>
      <c r="AT151" s="626"/>
      <c r="AU151" s="613"/>
      <c r="AV151" s="675"/>
      <c r="AW151" s="7"/>
      <c r="AX151" s="7"/>
    </row>
    <row r="152" spans="2:50" ht="13.5" customHeight="1">
      <c r="B152" s="689"/>
      <c r="C152" s="690" t="s">
        <v>56</v>
      </c>
      <c r="D152" s="691"/>
      <c r="E152" s="638" t="s">
        <v>55</v>
      </c>
      <c r="F152" s="543"/>
      <c r="G152" s="543"/>
      <c r="H152" s="544"/>
      <c r="I152" s="146" t="s">
        <v>54</v>
      </c>
      <c r="J152" s="28"/>
      <c r="K152" s="28"/>
      <c r="L152" s="28"/>
      <c r="M152" s="28"/>
      <c r="N152" s="28"/>
      <c r="O152" s="28"/>
      <c r="P152" s="28"/>
      <c r="Q152" s="147"/>
      <c r="R152" s="37" t="s">
        <v>111</v>
      </c>
      <c r="S152" s="639">
        <f>IF('様式11-5'!U$1="LPG",0,IF(AF$22&lt;50,料金単価!$C$7,(IF(AF$22&lt;100,料金単価!$C$8,IF($AF$22&lt;250,料金単価!$C$9,IF($AF$22&lt;500,料金単価!$C$10,IF($AF$22&lt;800,料金単価!$C$11,料金単価!$C$12)))))))</f>
        <v>0</v>
      </c>
      <c r="T152" s="639"/>
      <c r="U152" s="28" t="s">
        <v>53</v>
      </c>
      <c r="V152" s="54"/>
      <c r="W152" s="29"/>
      <c r="X152" s="29"/>
      <c r="Y152" s="29"/>
      <c r="Z152" s="29"/>
      <c r="AA152" s="29"/>
      <c r="AB152" s="28">
        <v>1</v>
      </c>
      <c r="AC152" s="251" t="s">
        <v>51</v>
      </c>
      <c r="AD152" s="28"/>
      <c r="AE152" s="28"/>
      <c r="AF152" s="28"/>
      <c r="AG152" s="28"/>
      <c r="AH152" s="640">
        <f>IF($AH$22+$AH$23=0,0,S152*AB152)</f>
        <v>0</v>
      </c>
      <c r="AI152" s="641"/>
      <c r="AJ152" s="641"/>
      <c r="AK152" s="642"/>
      <c r="AL152" s="658" t="s">
        <v>55</v>
      </c>
      <c r="AM152" s="634"/>
      <c r="AN152" s="659">
        <f>AN53</f>
        <v>2.29</v>
      </c>
      <c r="AO152" s="660"/>
      <c r="AP152" s="661" t="s">
        <v>45</v>
      </c>
      <c r="AQ152" s="662"/>
      <c r="AR152" s="663">
        <f>AN152*Z154/1000</f>
        <v>0</v>
      </c>
      <c r="AS152" s="664"/>
      <c r="AT152" s="664"/>
      <c r="AU152" s="550" t="s">
        <v>42</v>
      </c>
      <c r="AV152" s="551"/>
      <c r="AW152" s="7"/>
      <c r="AX152" s="7"/>
    </row>
    <row r="153" spans="2:50" ht="13.5" customHeight="1">
      <c r="B153" s="689"/>
      <c r="C153" s="692"/>
      <c r="D153" s="693"/>
      <c r="E153" s="545"/>
      <c r="F153" s="546"/>
      <c r="G153" s="546"/>
      <c r="H153" s="547"/>
      <c r="I153" s="170" t="s">
        <v>47</v>
      </c>
      <c r="J153" s="23"/>
      <c r="K153" s="23"/>
      <c r="L153" s="23"/>
      <c r="M153" s="23"/>
      <c r="N153" s="23"/>
      <c r="O153" s="23"/>
      <c r="P153" s="23" t="s">
        <v>50</v>
      </c>
      <c r="Q153" s="171"/>
      <c r="R153" s="34" t="s">
        <v>111</v>
      </c>
      <c r="S153" s="556">
        <f>IF(P153="冬季",IF(J$22&lt;50,料金単価!$D$7,IF(J$22&lt;100,料金単価!$D$8,IF($J$22&lt;250,料金単価!$D$9,IF($J$22&lt;500,料金単価!$D$10,IF($J$22&lt;800,料金単価!$D$11,料金単価!$D$12))))),IF(J$22&lt;50,料金単価!$E$7,IF(J$22&lt;100,料金単価!$E$8,IF(J$22&lt;250,料金単価!$E$9,IF(J$22&lt;500,料金単価!$E$10,IF(J$22&lt;800,料金単価!$E$11,料金単価!$E$12))))))</f>
        <v>132.49</v>
      </c>
      <c r="T153" s="556"/>
      <c r="U153" s="23" t="s">
        <v>48</v>
      </c>
      <c r="V153" s="172" t="s">
        <v>110</v>
      </c>
      <c r="W153" s="173">
        <f>W142</f>
        <v>14.55</v>
      </c>
      <c r="X153" s="258" t="s">
        <v>112</v>
      </c>
      <c r="Y153" s="259" t="s">
        <v>113</v>
      </c>
      <c r="Z153" s="665">
        <f>IF('様式11-5'!U$1="LPG",0,AF$22)</f>
        <v>0</v>
      </c>
      <c r="AA153" s="665"/>
      <c r="AB153" s="23" t="s">
        <v>46</v>
      </c>
      <c r="AC153" s="23"/>
      <c r="AD153" s="23"/>
      <c r="AE153" s="23"/>
      <c r="AF153" s="23"/>
      <c r="AG153" s="23"/>
      <c r="AH153" s="558">
        <f>(S153+W153)*Z153</f>
        <v>0</v>
      </c>
      <c r="AI153" s="559"/>
      <c r="AJ153" s="559"/>
      <c r="AK153" s="560"/>
      <c r="AL153" s="617"/>
      <c r="AM153" s="618"/>
      <c r="AN153" s="594"/>
      <c r="AO153" s="595"/>
      <c r="AP153" s="613"/>
      <c r="AQ153" s="614"/>
      <c r="AR153" s="625"/>
      <c r="AS153" s="626"/>
      <c r="AT153" s="626"/>
      <c r="AU153" s="552"/>
      <c r="AV153" s="553"/>
      <c r="AW153" s="7"/>
      <c r="AX153" s="7"/>
    </row>
    <row r="154" spans="2:50" ht="13.5" customHeight="1">
      <c r="B154" s="689"/>
      <c r="C154" s="692"/>
      <c r="D154" s="693"/>
      <c r="E154" s="708" t="s">
        <v>44</v>
      </c>
      <c r="F154" s="709"/>
      <c r="G154" s="709"/>
      <c r="H154" s="710"/>
      <c r="I154" s="163"/>
      <c r="J154" s="25"/>
      <c r="K154" s="25"/>
      <c r="L154" s="25"/>
      <c r="M154" s="25"/>
      <c r="N154" s="25"/>
      <c r="O154" s="25"/>
      <c r="P154" s="25"/>
      <c r="Q154" s="164"/>
      <c r="R154" s="254"/>
      <c r="S154" s="254"/>
      <c r="T154" s="25"/>
      <c r="U154" s="25"/>
      <c r="V154" s="25"/>
      <c r="W154" s="165"/>
      <c r="X154" s="260"/>
      <c r="Y154" s="260"/>
      <c r="Z154" s="715">
        <f>SUM(Z153:Z153)</f>
        <v>0</v>
      </c>
      <c r="AA154" s="715"/>
      <c r="AB154" s="167" t="s">
        <v>43</v>
      </c>
      <c r="AC154" s="167"/>
      <c r="AD154" s="25"/>
      <c r="AE154" s="25"/>
      <c r="AF154" s="25"/>
      <c r="AG154" s="25"/>
      <c r="AH154" s="712">
        <f>SUM(AH152:AK153)</f>
        <v>0</v>
      </c>
      <c r="AI154" s="713"/>
      <c r="AJ154" s="713"/>
      <c r="AK154" s="714"/>
      <c r="AL154" s="619"/>
      <c r="AM154" s="620"/>
      <c r="AN154" s="621"/>
      <c r="AO154" s="622"/>
      <c r="AP154" s="623"/>
      <c r="AQ154" s="624"/>
      <c r="AR154" s="627"/>
      <c r="AS154" s="628"/>
      <c r="AT154" s="628"/>
      <c r="AU154" s="554"/>
      <c r="AV154" s="555"/>
      <c r="AW154" s="7"/>
      <c r="AX154" s="7"/>
    </row>
    <row r="155" spans="2:50" ht="13.5" customHeight="1">
      <c r="B155" s="689"/>
      <c r="C155" s="692"/>
      <c r="D155" s="693"/>
      <c r="E155" s="638" t="s">
        <v>52</v>
      </c>
      <c r="F155" s="543"/>
      <c r="G155" s="543"/>
      <c r="H155" s="544"/>
      <c r="I155" s="146" t="s">
        <v>54</v>
      </c>
      <c r="J155" s="28"/>
      <c r="K155" s="28"/>
      <c r="L155" s="28"/>
      <c r="M155" s="28"/>
      <c r="N155" s="28"/>
      <c r="O155" s="28"/>
      <c r="P155" s="28"/>
      <c r="Q155" s="147"/>
      <c r="R155" s="641">
        <f>$R$34</f>
        <v>1320</v>
      </c>
      <c r="S155" s="641"/>
      <c r="T155" s="28" t="s">
        <v>53</v>
      </c>
      <c r="U155" s="28"/>
      <c r="V155" s="29"/>
      <c r="W155" s="29"/>
      <c r="X155" s="29"/>
      <c r="Y155" s="29"/>
      <c r="Z155" s="29"/>
      <c r="AA155" s="29"/>
      <c r="AB155" s="28">
        <v>1</v>
      </c>
      <c r="AC155" s="251" t="s">
        <v>51</v>
      </c>
      <c r="AD155" s="28"/>
      <c r="AE155" s="28"/>
      <c r="AF155" s="28"/>
      <c r="AG155" s="28"/>
      <c r="AH155" s="640">
        <f>IF($AH$22+$AH$23=0,0,R155*AB155)</f>
        <v>1320</v>
      </c>
      <c r="AI155" s="641"/>
      <c r="AJ155" s="641"/>
      <c r="AK155" s="642"/>
      <c r="AL155" s="617" t="s">
        <v>52</v>
      </c>
      <c r="AM155" s="618"/>
      <c r="AN155" s="594">
        <f>AN56</f>
        <v>6</v>
      </c>
      <c r="AO155" s="595"/>
      <c r="AP155" s="613" t="s">
        <v>45</v>
      </c>
      <c r="AQ155" s="614"/>
      <c r="AR155" s="625">
        <f>AN155*X157/1000</f>
        <v>0</v>
      </c>
      <c r="AS155" s="626"/>
      <c r="AT155" s="626"/>
      <c r="AU155" s="552" t="s">
        <v>42</v>
      </c>
      <c r="AV155" s="553"/>
      <c r="AW155" s="7"/>
      <c r="AX155" s="7"/>
    </row>
    <row r="156" spans="2:50" ht="13.5" customHeight="1">
      <c r="B156" s="689"/>
      <c r="C156" s="692"/>
      <c r="D156" s="693"/>
      <c r="E156" s="545"/>
      <c r="F156" s="546"/>
      <c r="G156" s="546"/>
      <c r="H156" s="547"/>
      <c r="I156" s="170" t="s">
        <v>47</v>
      </c>
      <c r="J156" s="23"/>
      <c r="K156" s="23"/>
      <c r="L156" s="23"/>
      <c r="M156" s="23"/>
      <c r="N156" s="23"/>
      <c r="O156" s="23"/>
      <c r="P156" s="23"/>
      <c r="Q156" s="171"/>
      <c r="R156" s="706">
        <f>$R$35</f>
        <v>440</v>
      </c>
      <c r="S156" s="707"/>
      <c r="T156" s="23" t="s">
        <v>48</v>
      </c>
      <c r="U156" s="23"/>
      <c r="V156" s="23"/>
      <c r="W156" s="23"/>
      <c r="X156" s="657">
        <f>IF('様式11-5'!U$1="LPG",AB$23,0)</f>
        <v>0</v>
      </c>
      <c r="Y156" s="644"/>
      <c r="Z156" s="23" t="s">
        <v>46</v>
      </c>
      <c r="AA156" s="23"/>
      <c r="AB156" s="23"/>
      <c r="AC156" s="24"/>
      <c r="AD156" s="23"/>
      <c r="AE156" s="23"/>
      <c r="AF156" s="23"/>
      <c r="AG156" s="23"/>
      <c r="AH156" s="558">
        <f>R156*X156</f>
        <v>0</v>
      </c>
      <c r="AI156" s="559"/>
      <c r="AJ156" s="559"/>
      <c r="AK156" s="560"/>
      <c r="AL156" s="617"/>
      <c r="AM156" s="618"/>
      <c r="AN156" s="594"/>
      <c r="AO156" s="595"/>
      <c r="AP156" s="613"/>
      <c r="AQ156" s="614"/>
      <c r="AR156" s="625"/>
      <c r="AS156" s="626"/>
      <c r="AT156" s="626"/>
      <c r="AU156" s="552"/>
      <c r="AV156" s="553"/>
      <c r="AW156" s="7"/>
      <c r="AX156" s="7"/>
    </row>
    <row r="157" spans="2:50" ht="13.5" customHeight="1" thickBot="1">
      <c r="B157" s="689"/>
      <c r="C157" s="694"/>
      <c r="D157" s="695"/>
      <c r="E157" s="708" t="s">
        <v>44</v>
      </c>
      <c r="F157" s="709"/>
      <c r="G157" s="709"/>
      <c r="H157" s="710"/>
      <c r="I157" s="163"/>
      <c r="J157" s="25"/>
      <c r="K157" s="25"/>
      <c r="L157" s="25"/>
      <c r="M157" s="25"/>
      <c r="N157" s="25"/>
      <c r="O157" s="25"/>
      <c r="P157" s="25"/>
      <c r="Q157" s="164"/>
      <c r="R157" s="254"/>
      <c r="S157" s="254"/>
      <c r="T157" s="25"/>
      <c r="U157" s="25"/>
      <c r="V157" s="25"/>
      <c r="W157" s="165"/>
      <c r="X157" s="716">
        <f>SUM(X156:Y156)</f>
        <v>0</v>
      </c>
      <c r="Y157" s="716"/>
      <c r="Z157" s="25" t="s">
        <v>43</v>
      </c>
      <c r="AA157" s="25"/>
      <c r="AB157" s="25"/>
      <c r="AC157" s="26"/>
      <c r="AD157" s="25"/>
      <c r="AE157" s="25"/>
      <c r="AF157" s="25"/>
      <c r="AG157" s="25"/>
      <c r="AH157" s="712">
        <f>SUM(AH155:AK156)</f>
        <v>1320</v>
      </c>
      <c r="AI157" s="713"/>
      <c r="AJ157" s="713"/>
      <c r="AK157" s="714"/>
      <c r="AL157" s="619"/>
      <c r="AM157" s="620"/>
      <c r="AN157" s="621"/>
      <c r="AO157" s="622"/>
      <c r="AP157" s="623"/>
      <c r="AQ157" s="624"/>
      <c r="AR157" s="627"/>
      <c r="AS157" s="628"/>
      <c r="AT157" s="628"/>
      <c r="AU157" s="554"/>
      <c r="AV157" s="555"/>
      <c r="AW157" s="7"/>
      <c r="AX157" s="7"/>
    </row>
    <row r="158" spans="2:50" ht="13.5" customHeight="1">
      <c r="B158" s="249"/>
      <c r="C158" s="249"/>
      <c r="D158" s="249"/>
      <c r="E158" s="39"/>
      <c r="F158" s="39"/>
      <c r="G158" s="39"/>
      <c r="H158" s="39"/>
      <c r="I158" s="42"/>
      <c r="J158" s="42"/>
      <c r="K158" s="42"/>
      <c r="L158" s="42"/>
      <c r="M158" s="42"/>
      <c r="N158" s="42"/>
      <c r="O158" s="42"/>
      <c r="P158" s="42"/>
      <c r="Q158" s="42"/>
      <c r="R158" s="40"/>
      <c r="S158" s="40"/>
      <c r="T158" s="42"/>
      <c r="U158" s="42"/>
      <c r="V158" s="41"/>
      <c r="W158" s="41"/>
      <c r="X158" s="41"/>
      <c r="Y158" s="41"/>
      <c r="Z158" s="41"/>
      <c r="AA158" s="41"/>
      <c r="AB158" s="42"/>
      <c r="AC158" s="43"/>
      <c r="AD158" s="42"/>
      <c r="AE158" s="42"/>
      <c r="AF158" s="42"/>
      <c r="AG158" s="42"/>
      <c r="AH158" s="40"/>
      <c r="AI158" s="40"/>
      <c r="AJ158" s="40"/>
      <c r="AK158" s="40"/>
      <c r="AL158" s="39"/>
      <c r="AM158" s="249"/>
      <c r="AN158" s="44"/>
      <c r="AO158" s="44"/>
      <c r="AP158" s="44"/>
      <c r="AQ158" s="44"/>
      <c r="AR158" s="178"/>
      <c r="AS158" s="178"/>
      <c r="AT158" s="178"/>
      <c r="AU158" s="178"/>
      <c r="AV158" s="178"/>
      <c r="AW158" s="7"/>
      <c r="AX158" s="7"/>
    </row>
    <row r="159" spans="2:50" ht="13.5" customHeight="1" thickBot="1">
      <c r="B159" s="179" t="s">
        <v>217</v>
      </c>
      <c r="C159" s="250"/>
      <c r="D159" s="250"/>
      <c r="E159" s="45"/>
      <c r="F159" s="45"/>
      <c r="G159" s="45"/>
      <c r="H159" s="45"/>
      <c r="I159" s="48"/>
      <c r="J159" s="48"/>
      <c r="K159" s="48"/>
      <c r="L159" s="48"/>
      <c r="M159" s="48"/>
      <c r="N159" s="48"/>
      <c r="O159" s="48"/>
      <c r="P159" s="48"/>
      <c r="Q159" s="48"/>
      <c r="R159" s="46"/>
      <c r="S159" s="46"/>
      <c r="T159" s="48"/>
      <c r="U159" s="48"/>
      <c r="V159" s="47"/>
      <c r="W159" s="47"/>
      <c r="X159" s="47"/>
      <c r="Y159" s="47"/>
      <c r="Z159" s="47"/>
      <c r="AA159" s="47"/>
      <c r="AB159" s="48"/>
      <c r="AC159" s="49"/>
      <c r="AD159" s="48"/>
      <c r="AE159" s="48"/>
      <c r="AF159" s="48"/>
      <c r="AG159" s="48"/>
      <c r="AH159" s="46"/>
      <c r="AI159" s="46"/>
      <c r="AJ159" s="46"/>
      <c r="AK159" s="46"/>
      <c r="AL159" s="45"/>
      <c r="AM159" s="250"/>
      <c r="AN159" s="50"/>
      <c r="AO159" s="50"/>
      <c r="AP159" s="50"/>
      <c r="AQ159" s="50"/>
      <c r="AR159" s="181"/>
      <c r="AS159" s="181"/>
      <c r="AT159" s="181"/>
      <c r="AU159" s="181"/>
      <c r="AV159" s="181"/>
      <c r="AW159" s="7"/>
      <c r="AX159" s="7"/>
    </row>
    <row r="160" spans="2:50">
      <c r="B160" s="696" t="s">
        <v>80</v>
      </c>
      <c r="C160" s="697"/>
      <c r="D160" s="697"/>
      <c r="E160" s="698" t="s">
        <v>2</v>
      </c>
      <c r="F160" s="697"/>
      <c r="G160" s="697"/>
      <c r="H160" s="699"/>
      <c r="I160" s="698" t="s">
        <v>79</v>
      </c>
      <c r="J160" s="697"/>
      <c r="K160" s="697"/>
      <c r="L160" s="697"/>
      <c r="M160" s="697"/>
      <c r="N160" s="697"/>
      <c r="O160" s="697"/>
      <c r="P160" s="697"/>
      <c r="Q160" s="699"/>
      <c r="R160" s="698" t="s">
        <v>78</v>
      </c>
      <c r="S160" s="697"/>
      <c r="T160" s="697"/>
      <c r="U160" s="697"/>
      <c r="V160" s="697"/>
      <c r="W160" s="697"/>
      <c r="X160" s="697"/>
      <c r="Y160" s="697"/>
      <c r="Z160" s="697"/>
      <c r="AA160" s="697"/>
      <c r="AB160" s="697"/>
      <c r="AC160" s="697"/>
      <c r="AD160" s="697"/>
      <c r="AE160" s="697"/>
      <c r="AF160" s="697"/>
      <c r="AG160" s="699"/>
      <c r="AH160" s="698" t="s">
        <v>77</v>
      </c>
      <c r="AI160" s="697"/>
      <c r="AJ160" s="697"/>
      <c r="AK160" s="700"/>
      <c r="AL160" s="605" t="s">
        <v>2</v>
      </c>
      <c r="AM160" s="606"/>
      <c r="AN160" s="680" t="s">
        <v>76</v>
      </c>
      <c r="AO160" s="681"/>
      <c r="AP160" s="681"/>
      <c r="AQ160" s="682"/>
      <c r="AR160" s="680" t="s">
        <v>75</v>
      </c>
      <c r="AS160" s="681"/>
      <c r="AT160" s="681"/>
      <c r="AU160" s="681"/>
      <c r="AV160" s="683"/>
      <c r="AW160" s="7"/>
      <c r="AX160" s="7"/>
    </row>
    <row r="161" spans="2:50">
      <c r="B161" s="633" t="s">
        <v>74</v>
      </c>
      <c r="C161" s="634"/>
      <c r="D161" s="635"/>
      <c r="E161" s="542" t="s">
        <v>73</v>
      </c>
      <c r="F161" s="543"/>
      <c r="G161" s="543"/>
      <c r="H161" s="544"/>
      <c r="I161" s="146" t="s">
        <v>54</v>
      </c>
      <c r="J161" s="28"/>
      <c r="K161" s="28"/>
      <c r="L161" s="28"/>
      <c r="M161" s="28"/>
      <c r="N161" s="28"/>
      <c r="O161" s="28"/>
      <c r="P161" s="28"/>
      <c r="Q161" s="147"/>
      <c r="R161" s="548"/>
      <c r="S161" s="548"/>
      <c r="T161" s="28"/>
      <c r="U161" s="28"/>
      <c r="V161" s="28"/>
      <c r="W161" s="549"/>
      <c r="X161" s="549"/>
      <c r="Y161" s="28"/>
      <c r="Z161" s="28"/>
      <c r="AA161" s="28"/>
      <c r="AB161" s="28"/>
      <c r="AC161" s="28"/>
      <c r="AD161" s="36"/>
      <c r="AE161" s="28"/>
      <c r="AF161" s="28"/>
      <c r="AG161" s="28"/>
      <c r="AH161" s="640">
        <f>AH27+AH38+AH49+AH60+AH71+AH82+AH93+AH104+AH115+AH126+AH137+AH148</f>
        <v>42402.849120000021</v>
      </c>
      <c r="AI161" s="641"/>
      <c r="AJ161" s="641"/>
      <c r="AK161" s="642"/>
      <c r="AL161" s="633" t="s">
        <v>0</v>
      </c>
      <c r="AM161" s="634"/>
      <c r="AN161" s="659">
        <f>AN27</f>
        <v>0.44900000000000001</v>
      </c>
      <c r="AO161" s="660"/>
      <c r="AP161" s="661" t="s">
        <v>72</v>
      </c>
      <c r="AQ161" s="662"/>
      <c r="AR161" s="663">
        <f>AN161*AB166/1000</f>
        <v>2.3005994270117656</v>
      </c>
      <c r="AS161" s="664"/>
      <c r="AT161" s="664"/>
      <c r="AU161" s="661" t="s">
        <v>42</v>
      </c>
      <c r="AV161" s="674"/>
      <c r="AW161" s="182"/>
      <c r="AX161" s="7"/>
    </row>
    <row r="162" spans="2:50">
      <c r="B162" s="617"/>
      <c r="C162" s="618"/>
      <c r="D162" s="636"/>
      <c r="E162" s="545"/>
      <c r="F162" s="546"/>
      <c r="G162" s="546"/>
      <c r="H162" s="547"/>
      <c r="I162" s="676" t="s">
        <v>47</v>
      </c>
      <c r="J162" s="644"/>
      <c r="K162" s="645"/>
      <c r="L162" s="643" t="s">
        <v>67</v>
      </c>
      <c r="M162" s="644"/>
      <c r="N162" s="644"/>
      <c r="O162" s="645"/>
      <c r="P162" s="643" t="s">
        <v>66</v>
      </c>
      <c r="Q162" s="646"/>
      <c r="R162" s="34"/>
      <c r="S162" s="33"/>
      <c r="T162" s="148"/>
      <c r="U162" s="150"/>
      <c r="V162" s="148"/>
      <c r="W162" s="150"/>
      <c r="X162" s="151"/>
      <c r="Y162" s="24"/>
      <c r="Z162" s="151"/>
      <c r="AA162" s="32"/>
      <c r="AB162" s="557">
        <f>AB39+AB61+AB50</f>
        <v>504.67538823529424</v>
      </c>
      <c r="AC162" s="557"/>
      <c r="AD162" s="24" t="s">
        <v>63</v>
      </c>
      <c r="AE162" s="24"/>
      <c r="AF162" s="24"/>
      <c r="AG162" s="152"/>
      <c r="AH162" s="648">
        <f>AH39+AH61+AH50</f>
        <v>12228.284656941179</v>
      </c>
      <c r="AI162" s="649"/>
      <c r="AJ162" s="649"/>
      <c r="AK162" s="650"/>
      <c r="AL162" s="617"/>
      <c r="AM162" s="618"/>
      <c r="AN162" s="594"/>
      <c r="AO162" s="595"/>
      <c r="AP162" s="613"/>
      <c r="AQ162" s="614"/>
      <c r="AR162" s="625"/>
      <c r="AS162" s="626"/>
      <c r="AT162" s="626"/>
      <c r="AU162" s="613"/>
      <c r="AV162" s="675"/>
      <c r="AW162" s="182"/>
      <c r="AX162" s="182"/>
    </row>
    <row r="163" spans="2:50">
      <c r="B163" s="617"/>
      <c r="C163" s="618"/>
      <c r="D163" s="636"/>
      <c r="E163" s="545"/>
      <c r="F163" s="546"/>
      <c r="G163" s="546"/>
      <c r="H163" s="547"/>
      <c r="I163" s="677"/>
      <c r="J163" s="618"/>
      <c r="K163" s="678"/>
      <c r="L163" s="679"/>
      <c r="M163" s="618"/>
      <c r="N163" s="618"/>
      <c r="O163" s="678"/>
      <c r="P163" s="643" t="s">
        <v>50</v>
      </c>
      <c r="Q163" s="646"/>
      <c r="R163" s="34"/>
      <c r="S163" s="33"/>
      <c r="T163" s="148"/>
      <c r="U163" s="150"/>
      <c r="V163" s="148"/>
      <c r="W163" s="150"/>
      <c r="X163" s="151"/>
      <c r="Y163" s="24"/>
      <c r="Z163" s="151"/>
      <c r="AA163" s="32"/>
      <c r="AB163" s="557">
        <f>AB28+AB72+AB149</f>
        <v>276.75105882352943</v>
      </c>
      <c r="AC163" s="557"/>
      <c r="AD163" s="24" t="s">
        <v>63</v>
      </c>
      <c r="AE163" s="24"/>
      <c r="AF163" s="24"/>
      <c r="AG163" s="152"/>
      <c r="AH163" s="648">
        <f>AH28+AH72+AH149</f>
        <v>6467.6722447058846</v>
      </c>
      <c r="AI163" s="649"/>
      <c r="AJ163" s="649"/>
      <c r="AK163" s="650"/>
      <c r="AL163" s="617"/>
      <c r="AM163" s="618"/>
      <c r="AN163" s="594"/>
      <c r="AO163" s="595"/>
      <c r="AP163" s="613"/>
      <c r="AQ163" s="614"/>
      <c r="AR163" s="625"/>
      <c r="AS163" s="626"/>
      <c r="AT163" s="626"/>
      <c r="AU163" s="613"/>
      <c r="AV163" s="675"/>
      <c r="AW163" s="182"/>
      <c r="AX163" s="7"/>
    </row>
    <row r="164" spans="2:50">
      <c r="B164" s="617"/>
      <c r="C164" s="618"/>
      <c r="D164" s="636"/>
      <c r="E164" s="545"/>
      <c r="F164" s="546"/>
      <c r="G164" s="546"/>
      <c r="H164" s="547"/>
      <c r="I164" s="677"/>
      <c r="J164" s="618"/>
      <c r="K164" s="678"/>
      <c r="L164" s="643" t="s">
        <v>65</v>
      </c>
      <c r="M164" s="644"/>
      <c r="N164" s="644"/>
      <c r="O164" s="645"/>
      <c r="P164" s="643" t="s">
        <v>50</v>
      </c>
      <c r="Q164" s="646"/>
      <c r="R164" s="31"/>
      <c r="S164" s="35"/>
      <c r="T164" s="183"/>
      <c r="U164" s="150"/>
      <c r="V164" s="183"/>
      <c r="W164" s="184"/>
      <c r="X164" s="161"/>
      <c r="Y164" s="30"/>
      <c r="Z164" s="161"/>
      <c r="AA164" s="51"/>
      <c r="AB164" s="647">
        <f>AB94+AB105+AB116+AB127+AB83+AB138</f>
        <v>4342.4030117647071</v>
      </c>
      <c r="AC164" s="647"/>
      <c r="AD164" s="30" t="s">
        <v>63</v>
      </c>
      <c r="AE164" s="30"/>
      <c r="AF164" s="30"/>
      <c r="AG164" s="253"/>
      <c r="AH164" s="648">
        <f>AH94+AH105+AH116+AH127+AH83+AH138</f>
        <v>101481.9583849412</v>
      </c>
      <c r="AI164" s="649"/>
      <c r="AJ164" s="649"/>
      <c r="AK164" s="650"/>
      <c r="AL164" s="617"/>
      <c r="AM164" s="618"/>
      <c r="AN164" s="594"/>
      <c r="AO164" s="595"/>
      <c r="AP164" s="613"/>
      <c r="AQ164" s="614"/>
      <c r="AR164" s="625"/>
      <c r="AS164" s="626"/>
      <c r="AT164" s="626"/>
      <c r="AU164" s="613"/>
      <c r="AV164" s="675"/>
      <c r="AW164" s="182"/>
      <c r="AX164" s="7"/>
    </row>
    <row r="165" spans="2:50" ht="14.25" thickBot="1">
      <c r="B165" s="617"/>
      <c r="C165" s="618"/>
      <c r="D165" s="636"/>
      <c r="E165" s="545"/>
      <c r="F165" s="546"/>
      <c r="G165" s="546"/>
      <c r="H165" s="547"/>
      <c r="I165" s="255"/>
      <c r="J165" s="252"/>
      <c r="K165" s="252"/>
      <c r="L165" s="259"/>
      <c r="M165" s="259"/>
      <c r="N165" s="259"/>
      <c r="O165" s="259"/>
      <c r="P165" s="259"/>
      <c r="Q165" s="256"/>
      <c r="R165" s="31"/>
      <c r="S165" s="157"/>
      <c r="T165" s="158"/>
      <c r="U165" s="159"/>
      <c r="V165" s="158"/>
      <c r="W165" s="160"/>
      <c r="X165" s="161"/>
      <c r="Y165" s="30"/>
      <c r="Z165" s="161"/>
      <c r="AA165" s="51"/>
      <c r="AB165" s="262"/>
      <c r="AC165" s="262"/>
      <c r="AD165" s="30"/>
      <c r="AE165" s="30"/>
      <c r="AF165" s="30"/>
      <c r="AG165" s="253"/>
      <c r="AH165" s="607"/>
      <c r="AI165" s="608"/>
      <c r="AJ165" s="608"/>
      <c r="AK165" s="609"/>
      <c r="AL165" s="617"/>
      <c r="AM165" s="618"/>
      <c r="AN165" s="594"/>
      <c r="AO165" s="595"/>
      <c r="AP165" s="613"/>
      <c r="AQ165" s="614"/>
      <c r="AR165" s="625"/>
      <c r="AS165" s="626"/>
      <c r="AT165" s="626"/>
      <c r="AU165" s="613"/>
      <c r="AV165" s="675"/>
      <c r="AW165" s="182"/>
      <c r="AX165" s="7"/>
    </row>
    <row r="166" spans="2:50" ht="14.25" thickTop="1">
      <c r="B166" s="619"/>
      <c r="C166" s="620"/>
      <c r="D166" s="932"/>
      <c r="E166" s="610" t="s">
        <v>44</v>
      </c>
      <c r="F166" s="611"/>
      <c r="G166" s="611"/>
      <c r="H166" s="612"/>
      <c r="I166" s="336"/>
      <c r="J166" s="337"/>
      <c r="K166" s="337"/>
      <c r="L166" s="337"/>
      <c r="M166" s="337"/>
      <c r="N166" s="337"/>
      <c r="O166" s="337"/>
      <c r="P166" s="337"/>
      <c r="Q166" s="338"/>
      <c r="R166" s="339"/>
      <c r="S166" s="339"/>
      <c r="T166" s="337"/>
      <c r="U166" s="337"/>
      <c r="V166" s="337"/>
      <c r="W166" s="340"/>
      <c r="X166" s="341"/>
      <c r="Y166" s="341"/>
      <c r="Z166" s="342"/>
      <c r="AA166" s="343"/>
      <c r="AB166" s="701">
        <f>SUM(AB162:AC165)</f>
        <v>5123.8294588235312</v>
      </c>
      <c r="AC166" s="701"/>
      <c r="AD166" s="344" t="s">
        <v>57</v>
      </c>
      <c r="AE166" s="337"/>
      <c r="AF166" s="337"/>
      <c r="AG166" s="337"/>
      <c r="AH166" s="652">
        <f>SUM(AH161:AK164)</f>
        <v>162580.76440658828</v>
      </c>
      <c r="AI166" s="653"/>
      <c r="AJ166" s="653"/>
      <c r="AK166" s="654"/>
      <c r="AL166" s="617"/>
      <c r="AM166" s="618"/>
      <c r="AN166" s="594"/>
      <c r="AO166" s="595"/>
      <c r="AP166" s="613"/>
      <c r="AQ166" s="614"/>
      <c r="AR166" s="625"/>
      <c r="AS166" s="626"/>
      <c r="AT166" s="626"/>
      <c r="AU166" s="613"/>
      <c r="AV166" s="675"/>
      <c r="AW166" s="182"/>
      <c r="AX166" s="7"/>
    </row>
    <row r="167" spans="2:50">
      <c r="B167" s="633" t="s">
        <v>56</v>
      </c>
      <c r="C167" s="634"/>
      <c r="D167" s="635"/>
      <c r="E167" s="638" t="s">
        <v>55</v>
      </c>
      <c r="F167" s="543"/>
      <c r="G167" s="543"/>
      <c r="H167" s="544"/>
      <c r="I167" s="146" t="s">
        <v>54</v>
      </c>
      <c r="J167" s="28"/>
      <c r="K167" s="28"/>
      <c r="L167" s="28"/>
      <c r="M167" s="28"/>
      <c r="N167" s="28"/>
      <c r="O167" s="28"/>
      <c r="P167" s="28"/>
      <c r="Q167" s="147"/>
      <c r="R167" s="37"/>
      <c r="S167" s="639"/>
      <c r="T167" s="639"/>
      <c r="U167" s="28"/>
      <c r="V167" s="54"/>
      <c r="W167" s="29"/>
      <c r="X167" s="29"/>
      <c r="Y167" s="29"/>
      <c r="Z167" s="29"/>
      <c r="AA167" s="29"/>
      <c r="AB167" s="186"/>
      <c r="AC167" s="186"/>
      <c r="AD167" s="28"/>
      <c r="AE167" s="28"/>
      <c r="AF167" s="28"/>
      <c r="AG167" s="28"/>
      <c r="AH167" s="640">
        <f>AH31+AH42+AH53+AH64+AH75+AH86+AH97+AH108+AH119+AH130+AH141+AH152</f>
        <v>0</v>
      </c>
      <c r="AI167" s="641"/>
      <c r="AJ167" s="641"/>
      <c r="AK167" s="642"/>
      <c r="AL167" s="658" t="s">
        <v>55</v>
      </c>
      <c r="AM167" s="634"/>
      <c r="AN167" s="659">
        <f>AN31</f>
        <v>2.29</v>
      </c>
      <c r="AO167" s="660"/>
      <c r="AP167" s="661" t="s">
        <v>45</v>
      </c>
      <c r="AQ167" s="662"/>
      <c r="AR167" s="663">
        <f>AN167*AB170/1000</f>
        <v>0</v>
      </c>
      <c r="AS167" s="664"/>
      <c r="AT167" s="664"/>
      <c r="AU167" s="550" t="s">
        <v>42</v>
      </c>
      <c r="AV167" s="551"/>
      <c r="AW167" s="182"/>
      <c r="AX167" s="7"/>
    </row>
    <row r="168" spans="2:50">
      <c r="B168" s="617"/>
      <c r="C168" s="618"/>
      <c r="D168" s="636"/>
      <c r="E168" s="545"/>
      <c r="F168" s="546"/>
      <c r="G168" s="546"/>
      <c r="H168" s="547"/>
      <c r="I168" s="170" t="s">
        <v>47</v>
      </c>
      <c r="J168" s="23"/>
      <c r="K168" s="23"/>
      <c r="L168" s="23"/>
      <c r="M168" s="23"/>
      <c r="N168" s="23"/>
      <c r="O168" s="23"/>
      <c r="P168" s="23" t="s">
        <v>50</v>
      </c>
      <c r="Q168" s="171"/>
      <c r="R168" s="34"/>
      <c r="S168" s="556"/>
      <c r="T168" s="556"/>
      <c r="U168" s="23"/>
      <c r="V168" s="172"/>
      <c r="W168" s="187"/>
      <c r="X168" s="258"/>
      <c r="Y168" s="259"/>
      <c r="Z168" s="257"/>
      <c r="AA168" s="189"/>
      <c r="AB168" s="557">
        <f>Z32+Z43+Z65+Z54+Z76+Z87+Z142+Z153</f>
        <v>0</v>
      </c>
      <c r="AC168" s="557"/>
      <c r="AD168" s="23" t="s">
        <v>46</v>
      </c>
      <c r="AE168" s="23"/>
      <c r="AF168" s="23"/>
      <c r="AG168" s="23"/>
      <c r="AH168" s="558">
        <f>AH32+AH43+AH65+AH54+AH76+AH87+AH142+AH153</f>
        <v>0</v>
      </c>
      <c r="AI168" s="559"/>
      <c r="AJ168" s="559"/>
      <c r="AK168" s="560"/>
      <c r="AL168" s="617"/>
      <c r="AM168" s="618"/>
      <c r="AN168" s="594"/>
      <c r="AO168" s="595"/>
      <c r="AP168" s="613"/>
      <c r="AQ168" s="614"/>
      <c r="AR168" s="625"/>
      <c r="AS168" s="626"/>
      <c r="AT168" s="626"/>
      <c r="AU168" s="552"/>
      <c r="AV168" s="553"/>
      <c r="AW168" s="182"/>
      <c r="AX168" s="7"/>
    </row>
    <row r="169" spans="2:50" ht="14.25" thickBot="1">
      <c r="B169" s="617"/>
      <c r="C169" s="618"/>
      <c r="D169" s="636"/>
      <c r="E169" s="545"/>
      <c r="F169" s="546"/>
      <c r="G169" s="546"/>
      <c r="H169" s="547"/>
      <c r="I169" s="170"/>
      <c r="J169" s="23"/>
      <c r="K169" s="23"/>
      <c r="L169" s="23"/>
      <c r="M169" s="23"/>
      <c r="N169" s="23"/>
      <c r="O169" s="23"/>
      <c r="P169" s="23" t="s">
        <v>49</v>
      </c>
      <c r="Q169" s="171"/>
      <c r="R169" s="38"/>
      <c r="S169" s="561"/>
      <c r="T169" s="561"/>
      <c r="U169" s="23"/>
      <c r="V169" s="172"/>
      <c r="W169" s="187"/>
      <c r="X169" s="258"/>
      <c r="Y169" s="259"/>
      <c r="Z169" s="271"/>
      <c r="AA169" s="271"/>
      <c r="AB169" s="562">
        <f>Z98+Z109+Z120+Z131</f>
        <v>0</v>
      </c>
      <c r="AC169" s="562"/>
      <c r="AD169" s="23" t="s">
        <v>46</v>
      </c>
      <c r="AE169" s="23"/>
      <c r="AF169" s="23"/>
      <c r="AG169" s="23"/>
      <c r="AH169" s="558">
        <f>AH98+AH109+AH120+AH131</f>
        <v>0</v>
      </c>
      <c r="AI169" s="559"/>
      <c r="AJ169" s="559"/>
      <c r="AK169" s="560"/>
      <c r="AL169" s="617"/>
      <c r="AM169" s="618"/>
      <c r="AN169" s="594"/>
      <c r="AO169" s="595"/>
      <c r="AP169" s="613"/>
      <c r="AQ169" s="614"/>
      <c r="AR169" s="625"/>
      <c r="AS169" s="626"/>
      <c r="AT169" s="626"/>
      <c r="AU169" s="552"/>
      <c r="AV169" s="553"/>
      <c r="AW169" s="182"/>
      <c r="AX169" s="7"/>
    </row>
    <row r="170" spans="2:50" ht="14.25" thickTop="1">
      <c r="B170" s="617"/>
      <c r="C170" s="618"/>
      <c r="D170" s="636"/>
      <c r="E170" s="610" t="s">
        <v>44</v>
      </c>
      <c r="F170" s="611"/>
      <c r="G170" s="611"/>
      <c r="H170" s="612"/>
      <c r="I170" s="336"/>
      <c r="J170" s="337"/>
      <c r="K170" s="337"/>
      <c r="L170" s="337"/>
      <c r="M170" s="337"/>
      <c r="N170" s="337"/>
      <c r="O170" s="337"/>
      <c r="P170" s="337"/>
      <c r="Q170" s="338"/>
      <c r="R170" s="339"/>
      <c r="S170" s="339"/>
      <c r="T170" s="337"/>
      <c r="U170" s="337"/>
      <c r="V170" s="337"/>
      <c r="W170" s="340"/>
      <c r="X170" s="341"/>
      <c r="Y170" s="341"/>
      <c r="Z170" s="345"/>
      <c r="AA170" s="345"/>
      <c r="AB170" s="651">
        <f>SUM(AB168:AB169)</f>
        <v>0</v>
      </c>
      <c r="AC170" s="651"/>
      <c r="AD170" s="342" t="s">
        <v>43</v>
      </c>
      <c r="AE170" s="337"/>
      <c r="AF170" s="337"/>
      <c r="AG170" s="337"/>
      <c r="AH170" s="652">
        <f>SUM(AH167:AK169)</f>
        <v>0</v>
      </c>
      <c r="AI170" s="653"/>
      <c r="AJ170" s="653"/>
      <c r="AK170" s="654"/>
      <c r="AL170" s="619"/>
      <c r="AM170" s="620"/>
      <c r="AN170" s="621"/>
      <c r="AO170" s="622"/>
      <c r="AP170" s="623"/>
      <c r="AQ170" s="624"/>
      <c r="AR170" s="627"/>
      <c r="AS170" s="628"/>
      <c r="AT170" s="628"/>
      <c r="AU170" s="554"/>
      <c r="AV170" s="555"/>
      <c r="AW170" s="182"/>
      <c r="AX170" s="7"/>
    </row>
    <row r="171" spans="2:50">
      <c r="B171" s="617"/>
      <c r="C171" s="618"/>
      <c r="D171" s="636"/>
      <c r="E171" s="638" t="s">
        <v>52</v>
      </c>
      <c r="F171" s="543"/>
      <c r="G171" s="543"/>
      <c r="H171" s="544"/>
      <c r="I171" s="146" t="s">
        <v>54</v>
      </c>
      <c r="J171" s="28"/>
      <c r="K171" s="28"/>
      <c r="L171" s="28"/>
      <c r="M171" s="28"/>
      <c r="N171" s="28"/>
      <c r="O171" s="28"/>
      <c r="P171" s="28"/>
      <c r="Q171" s="147"/>
      <c r="R171" s="641"/>
      <c r="S171" s="641"/>
      <c r="T171" s="28"/>
      <c r="U171" s="28"/>
      <c r="V171" s="29"/>
      <c r="W171" s="29"/>
      <c r="X171" s="29"/>
      <c r="Y171" s="29"/>
      <c r="Z171" s="29"/>
      <c r="AA171" s="29"/>
      <c r="AB171" s="186"/>
      <c r="AC171" s="186"/>
      <c r="AD171" s="28"/>
      <c r="AE171" s="28"/>
      <c r="AF171" s="28"/>
      <c r="AG171" s="28"/>
      <c r="AH171" s="640">
        <f>AH34+AH45+AH56+AH67+AH78+AH89+AH100+AH111+AH122+AH133+AH144+AH155</f>
        <v>15840</v>
      </c>
      <c r="AI171" s="641"/>
      <c r="AJ171" s="641"/>
      <c r="AK171" s="642"/>
      <c r="AL171" s="617" t="s">
        <v>52</v>
      </c>
      <c r="AM171" s="618"/>
      <c r="AN171" s="594">
        <f>AN34</f>
        <v>6</v>
      </c>
      <c r="AO171" s="595"/>
      <c r="AP171" s="613" t="s">
        <v>45</v>
      </c>
      <c r="AQ171" s="614"/>
      <c r="AR171" s="625">
        <f>AN171*AB173/1000</f>
        <v>0.62433882352941183</v>
      </c>
      <c r="AS171" s="626"/>
      <c r="AT171" s="626"/>
      <c r="AU171" s="552" t="s">
        <v>42</v>
      </c>
      <c r="AV171" s="553"/>
      <c r="AW171" s="182"/>
      <c r="AX171" s="7"/>
    </row>
    <row r="172" spans="2:50" ht="14.25" thickBot="1">
      <c r="B172" s="617"/>
      <c r="C172" s="618"/>
      <c r="D172" s="636"/>
      <c r="E172" s="545"/>
      <c r="F172" s="546"/>
      <c r="G172" s="546"/>
      <c r="H172" s="547"/>
      <c r="I172" s="170" t="s">
        <v>47</v>
      </c>
      <c r="J172" s="23"/>
      <c r="K172" s="23"/>
      <c r="L172" s="23"/>
      <c r="M172" s="23"/>
      <c r="N172" s="23"/>
      <c r="O172" s="23"/>
      <c r="P172" s="23"/>
      <c r="Q172" s="171"/>
      <c r="R172" s="655"/>
      <c r="S172" s="656"/>
      <c r="T172" s="23"/>
      <c r="U172" s="23"/>
      <c r="V172" s="23"/>
      <c r="W172" s="23"/>
      <c r="X172" s="657"/>
      <c r="Y172" s="644"/>
      <c r="Z172" s="23"/>
      <c r="AA172" s="23"/>
      <c r="AB172" s="562">
        <f>X35+X46+X68+X101+X112+X123+X134+X57+X79+X90+X145+X156</f>
        <v>104.0564705882353</v>
      </c>
      <c r="AC172" s="562"/>
      <c r="AD172" s="23" t="s">
        <v>46</v>
      </c>
      <c r="AE172" s="23"/>
      <c r="AF172" s="23"/>
      <c r="AG172" s="23"/>
      <c r="AH172" s="558">
        <f>AH35+AH46+AH68+AH101+AH112+AH123+AH134+AH57+AH79+AH90+AH145+AH156</f>
        <v>45784.847058823536</v>
      </c>
      <c r="AI172" s="559"/>
      <c r="AJ172" s="559"/>
      <c r="AK172" s="560"/>
      <c r="AL172" s="617"/>
      <c r="AM172" s="618"/>
      <c r="AN172" s="594"/>
      <c r="AO172" s="595"/>
      <c r="AP172" s="613"/>
      <c r="AQ172" s="614"/>
      <c r="AR172" s="625"/>
      <c r="AS172" s="626"/>
      <c r="AT172" s="626"/>
      <c r="AU172" s="552"/>
      <c r="AV172" s="553"/>
      <c r="AW172" s="182"/>
      <c r="AX172" s="7"/>
    </row>
    <row r="173" spans="2:50" ht="15" thickTop="1" thickBot="1">
      <c r="B173" s="631"/>
      <c r="C173" s="632"/>
      <c r="D173" s="637"/>
      <c r="E173" s="668" t="s">
        <v>44</v>
      </c>
      <c r="F173" s="669"/>
      <c r="G173" s="669"/>
      <c r="H173" s="670"/>
      <c r="I173" s="346"/>
      <c r="J173" s="347"/>
      <c r="K173" s="347"/>
      <c r="L173" s="347"/>
      <c r="M173" s="347"/>
      <c r="N173" s="347"/>
      <c r="O173" s="347"/>
      <c r="P173" s="347"/>
      <c r="Q173" s="348"/>
      <c r="R173" s="349"/>
      <c r="S173" s="349"/>
      <c r="T173" s="347"/>
      <c r="U173" s="347"/>
      <c r="V173" s="347"/>
      <c r="W173" s="350"/>
      <c r="X173" s="666"/>
      <c r="Y173" s="666"/>
      <c r="Z173" s="347"/>
      <c r="AA173" s="347"/>
      <c r="AB173" s="667">
        <f>SUM(AB172:AC172)</f>
        <v>104.0564705882353</v>
      </c>
      <c r="AC173" s="667"/>
      <c r="AD173" s="347" t="s">
        <v>43</v>
      </c>
      <c r="AE173" s="347"/>
      <c r="AF173" s="347"/>
      <c r="AG173" s="347"/>
      <c r="AH173" s="671">
        <f>SUM(AH171:AK172)</f>
        <v>61624.847058823536</v>
      </c>
      <c r="AI173" s="672"/>
      <c r="AJ173" s="672"/>
      <c r="AK173" s="673"/>
      <c r="AL173" s="631"/>
      <c r="AM173" s="632"/>
      <c r="AN173" s="596"/>
      <c r="AO173" s="597"/>
      <c r="AP173" s="615"/>
      <c r="AQ173" s="616"/>
      <c r="AR173" s="684"/>
      <c r="AS173" s="685"/>
      <c r="AT173" s="685"/>
      <c r="AU173" s="686"/>
      <c r="AV173" s="687"/>
      <c r="AW173" s="182"/>
      <c r="AX173" s="7"/>
    </row>
    <row r="174" spans="2:50" ht="14.25" thickBot="1"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195"/>
      <c r="AE174" s="563" t="s">
        <v>218</v>
      </c>
      <c r="AF174" s="564"/>
      <c r="AG174" s="565"/>
      <c r="AH174" s="566">
        <f>+AH166+AH170+AH173</f>
        <v>224205.61146541181</v>
      </c>
      <c r="AI174" s="567"/>
      <c r="AJ174" s="567"/>
      <c r="AK174" s="568"/>
      <c r="AP174" s="563" t="s">
        <v>1</v>
      </c>
      <c r="AQ174" s="564"/>
      <c r="AR174" s="569">
        <f>SUM(AR161:AT173)</f>
        <v>2.9249382505411772</v>
      </c>
      <c r="AS174" s="570"/>
      <c r="AT174" s="570"/>
      <c r="AU174" s="571" t="s">
        <v>42</v>
      </c>
      <c r="AV174" s="572"/>
    </row>
    <row r="175" spans="2:50" ht="14.25" thickBot="1">
      <c r="B175" s="4"/>
      <c r="C175" s="19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197"/>
    </row>
    <row r="176" spans="2:50">
      <c r="B176" s="4"/>
      <c r="C176" s="19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AL176" s="588" t="s">
        <v>2</v>
      </c>
      <c r="AM176" s="589"/>
      <c r="AN176" s="590" t="s">
        <v>117</v>
      </c>
      <c r="AO176" s="589"/>
      <c r="AP176" s="589"/>
      <c r="AQ176" s="591"/>
      <c r="AR176" s="592" t="s">
        <v>118</v>
      </c>
      <c r="AS176" s="592"/>
      <c r="AT176" s="592"/>
      <c r="AU176" s="592"/>
      <c r="AV176" s="593"/>
    </row>
    <row r="177" spans="2:48">
      <c r="B177" s="4" t="s">
        <v>219</v>
      </c>
      <c r="C177" s="196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AL177" s="579" t="s">
        <v>0</v>
      </c>
      <c r="AM177" s="580"/>
      <c r="AN177" s="581">
        <f>AB166/9.97</f>
        <v>513.92472004248054</v>
      </c>
      <c r="AO177" s="582"/>
      <c r="AP177" s="583" t="s">
        <v>220</v>
      </c>
      <c r="AQ177" s="584"/>
      <c r="AR177" s="585">
        <f>AN177*0.0258</f>
        <v>13.259257777095998</v>
      </c>
      <c r="AS177" s="585"/>
      <c r="AT177" s="585"/>
      <c r="AU177" s="586" t="s">
        <v>119</v>
      </c>
      <c r="AV177" s="587"/>
    </row>
    <row r="178" spans="2:48">
      <c r="B178" s="4" t="s">
        <v>222</v>
      </c>
      <c r="C178" s="196"/>
      <c r="D178" s="12"/>
      <c r="E178" s="12"/>
      <c r="F178" s="12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AL178" s="579" t="s">
        <v>115</v>
      </c>
      <c r="AM178" s="580"/>
      <c r="AN178" s="581">
        <f>AB170/45</f>
        <v>0</v>
      </c>
      <c r="AO178" s="582"/>
      <c r="AP178" s="583" t="s">
        <v>220</v>
      </c>
      <c r="AQ178" s="584"/>
      <c r="AR178" s="585">
        <f>AN178*0.0258</f>
        <v>0</v>
      </c>
      <c r="AS178" s="585"/>
      <c r="AT178" s="585"/>
      <c r="AU178" s="586" t="s">
        <v>119</v>
      </c>
      <c r="AV178" s="587"/>
    </row>
    <row r="179" spans="2:48" ht="14.25" thickBot="1">
      <c r="B179" s="13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AL179" s="598" t="s">
        <v>116</v>
      </c>
      <c r="AM179" s="599"/>
      <c r="AN179" s="600">
        <f>AB173/92.9</f>
        <v>1.1200911796365478</v>
      </c>
      <c r="AO179" s="601"/>
      <c r="AP179" s="602" t="s">
        <v>220</v>
      </c>
      <c r="AQ179" s="603"/>
      <c r="AR179" s="604">
        <f>AN179*0.0258</f>
        <v>2.8898352434622934E-2</v>
      </c>
      <c r="AS179" s="604"/>
      <c r="AT179" s="604"/>
      <c r="AU179" s="629" t="s">
        <v>119</v>
      </c>
      <c r="AV179" s="630"/>
    </row>
    <row r="180" spans="2:48" ht="14.25" thickBot="1">
      <c r="AP180" s="573" t="s">
        <v>1</v>
      </c>
      <c r="AQ180" s="574"/>
      <c r="AR180" s="575">
        <f>SUM(AR177:AT179)</f>
        <v>13.288156129530622</v>
      </c>
      <c r="AS180" s="576"/>
      <c r="AT180" s="576"/>
      <c r="AU180" s="577" t="s">
        <v>119</v>
      </c>
      <c r="AV180" s="578"/>
    </row>
  </sheetData>
  <protectedRanges>
    <protectedRange sqref="B179" name="範囲4"/>
    <protectedRange sqref="M1:S2" name="範囲2"/>
    <protectedRange sqref="R171:S171 R45:S45 R56:S56 R67:S67 R78:S78 R89:S89 R100:S100 R111:S111 R122:S122 R133:S133 R155:S155 R158:S159 R144:S144" name="範囲1"/>
    <protectedRange sqref="R34:S34" name="範囲1_2"/>
  </protectedRanges>
  <mergeCells count="1064">
    <mergeCell ref="AP180:AQ180"/>
    <mergeCell ref="AR180:AT180"/>
    <mergeCell ref="AU180:AV180"/>
    <mergeCell ref="AL177:AM177"/>
    <mergeCell ref="AN177:AO177"/>
    <mergeCell ref="AP177:AQ177"/>
    <mergeCell ref="AR177:AT177"/>
    <mergeCell ref="AU177:AV177"/>
    <mergeCell ref="AL178:AM178"/>
    <mergeCell ref="AN178:AO178"/>
    <mergeCell ref="AP178:AQ178"/>
    <mergeCell ref="AR178:AT178"/>
    <mergeCell ref="AU178:AV178"/>
    <mergeCell ref="AL176:AM176"/>
    <mergeCell ref="AN176:AQ176"/>
    <mergeCell ref="AR176:AV176"/>
    <mergeCell ref="AN171:AO173"/>
    <mergeCell ref="AL179:AM179"/>
    <mergeCell ref="AN179:AO179"/>
    <mergeCell ref="AP179:AQ179"/>
    <mergeCell ref="AR179:AT179"/>
    <mergeCell ref="AP174:AQ174"/>
    <mergeCell ref="AR174:AT174"/>
    <mergeCell ref="AU174:AV174"/>
    <mergeCell ref="AU179:AV179"/>
    <mergeCell ref="AL171:AM173"/>
    <mergeCell ref="B167:D173"/>
    <mergeCell ref="E167:H169"/>
    <mergeCell ref="S167:T167"/>
    <mergeCell ref="AH167:AK167"/>
    <mergeCell ref="AH169:AK169"/>
    <mergeCell ref="P164:Q164"/>
    <mergeCell ref="AB164:AC164"/>
    <mergeCell ref="AH164:AK164"/>
    <mergeCell ref="AB170:AC170"/>
    <mergeCell ref="AH170:AK170"/>
    <mergeCell ref="AR171:AT173"/>
    <mergeCell ref="AU171:AV173"/>
    <mergeCell ref="AR167:AT170"/>
    <mergeCell ref="AH161:AK161"/>
    <mergeCell ref="AL161:AM166"/>
    <mergeCell ref="AN161:AO166"/>
    <mergeCell ref="AP161:AQ166"/>
    <mergeCell ref="E170:H170"/>
    <mergeCell ref="L164:O164"/>
    <mergeCell ref="E171:H172"/>
    <mergeCell ref="R171:S171"/>
    <mergeCell ref="AH171:AK171"/>
    <mergeCell ref="R172:S172"/>
    <mergeCell ref="X172:Y172"/>
    <mergeCell ref="E173:H173"/>
    <mergeCell ref="AH173:AK173"/>
    <mergeCell ref="AR161:AT166"/>
    <mergeCell ref="AU161:AV166"/>
    <mergeCell ref="I162:K164"/>
    <mergeCell ref="L162:O163"/>
    <mergeCell ref="P162:Q162"/>
    <mergeCell ref="AB162:AC162"/>
    <mergeCell ref="AH162:AK162"/>
    <mergeCell ref="P163:Q163"/>
    <mergeCell ref="AB163:AC163"/>
    <mergeCell ref="AL160:AM160"/>
    <mergeCell ref="AH165:AK165"/>
    <mergeCell ref="E166:H166"/>
    <mergeCell ref="AP171:AQ173"/>
    <mergeCell ref="AL155:AM157"/>
    <mergeCell ref="AN155:AO157"/>
    <mergeCell ref="AP155:AQ157"/>
    <mergeCell ref="AR155:AT157"/>
    <mergeCell ref="AN160:AQ160"/>
    <mergeCell ref="AR160:AV160"/>
    <mergeCell ref="AN167:AO170"/>
    <mergeCell ref="AP167:AQ170"/>
    <mergeCell ref="E161:H165"/>
    <mergeCell ref="R161:S161"/>
    <mergeCell ref="W161:X161"/>
    <mergeCell ref="AU167:AV170"/>
    <mergeCell ref="S168:T168"/>
    <mergeCell ref="AB168:AC168"/>
    <mergeCell ref="S169:T169"/>
    <mergeCell ref="AB169:AC169"/>
    <mergeCell ref="AL152:AM154"/>
    <mergeCell ref="AB166:AC166"/>
    <mergeCell ref="AH166:AK166"/>
    <mergeCell ref="R155:S155"/>
    <mergeCell ref="I149:K149"/>
    <mergeCell ref="L149:O149"/>
    <mergeCell ref="P149:Q149"/>
    <mergeCell ref="AB149:AC149"/>
    <mergeCell ref="AH149:AK149"/>
    <mergeCell ref="AH150:AK150"/>
    <mergeCell ref="R156:S156"/>
    <mergeCell ref="X156:Y156"/>
    <mergeCell ref="AH156:AK156"/>
    <mergeCell ref="AE174:AG174"/>
    <mergeCell ref="AH174:AK174"/>
    <mergeCell ref="S153:T153"/>
    <mergeCell ref="Z153:AA153"/>
    <mergeCell ref="AH153:AK153"/>
    <mergeCell ref="X173:Y173"/>
    <mergeCell ref="AB173:AC173"/>
    <mergeCell ref="AH172:AK172"/>
    <mergeCell ref="AL167:AM170"/>
    <mergeCell ref="AH163:AK163"/>
    <mergeCell ref="R144:S144"/>
    <mergeCell ref="Z154:AA154"/>
    <mergeCell ref="AH154:AK154"/>
    <mergeCell ref="X157:Y157"/>
    <mergeCell ref="AH157:AK157"/>
    <mergeCell ref="AH155:AK155"/>
    <mergeCell ref="AP144:AQ146"/>
    <mergeCell ref="E151:H151"/>
    <mergeCell ref="AB151:AC151"/>
    <mergeCell ref="AH151:AK151"/>
    <mergeCell ref="AP148:AQ151"/>
    <mergeCell ref="C148:D151"/>
    <mergeCell ref="E148:H150"/>
    <mergeCell ref="R148:S148"/>
    <mergeCell ref="W148:X148"/>
    <mergeCell ref="AH148:AK148"/>
    <mergeCell ref="AL148:AM151"/>
    <mergeCell ref="AN148:AO151"/>
    <mergeCell ref="B160:D160"/>
    <mergeCell ref="B161:D166"/>
    <mergeCell ref="B148:B157"/>
    <mergeCell ref="E147:H147"/>
    <mergeCell ref="I147:Q147"/>
    <mergeCell ref="R147:AG147"/>
    <mergeCell ref="AH147:AK147"/>
    <mergeCell ref="AL147:AM147"/>
    <mergeCell ref="C141:D146"/>
    <mergeCell ref="AB172:AC172"/>
    <mergeCell ref="AH168:AK168"/>
    <mergeCell ref="AP141:AQ143"/>
    <mergeCell ref="AR141:AT143"/>
    <mergeCell ref="AN147:AQ147"/>
    <mergeCell ref="AR147:AV147"/>
    <mergeCell ref="I160:Q160"/>
    <mergeCell ref="R160:AG160"/>
    <mergeCell ref="AH160:AK160"/>
    <mergeCell ref="C152:D157"/>
    <mergeCell ref="E152:H153"/>
    <mergeCell ref="S152:T152"/>
    <mergeCell ref="AH152:AK152"/>
    <mergeCell ref="E154:H154"/>
    <mergeCell ref="E155:H156"/>
    <mergeCell ref="AU155:AV157"/>
    <mergeCell ref="AR148:AT151"/>
    <mergeCell ref="AU148:AV151"/>
    <mergeCell ref="AU141:AV143"/>
    <mergeCell ref="AR144:AT146"/>
    <mergeCell ref="AU144:AV146"/>
    <mergeCell ref="B147:D147"/>
    <mergeCell ref="E157:H157"/>
    <mergeCell ref="E160:H160"/>
    <mergeCell ref="AN152:AO154"/>
    <mergeCell ref="AP152:AQ154"/>
    <mergeCell ref="AR152:AT154"/>
    <mergeCell ref="AU152:AV154"/>
    <mergeCell ref="B137:B146"/>
    <mergeCell ref="C137:D140"/>
    <mergeCell ref="E137:H139"/>
    <mergeCell ref="R137:S137"/>
    <mergeCell ref="W137:X137"/>
    <mergeCell ref="AH137:AK137"/>
    <mergeCell ref="AL137:AM140"/>
    <mergeCell ref="AN137:AO140"/>
    <mergeCell ref="AB138:AC138"/>
    <mergeCell ref="AH138:AK138"/>
    <mergeCell ref="AH139:AK139"/>
    <mergeCell ref="E140:H140"/>
    <mergeCell ref="AB140:AC140"/>
    <mergeCell ref="AH140:AK140"/>
    <mergeCell ref="E141:H142"/>
    <mergeCell ref="S141:T141"/>
    <mergeCell ref="AH141:AK141"/>
    <mergeCell ref="E143:H143"/>
    <mergeCell ref="E144:H145"/>
    <mergeCell ref="AL141:AM143"/>
    <mergeCell ref="R145:S145"/>
    <mergeCell ref="X145:Y145"/>
    <mergeCell ref="AH145:AK145"/>
    <mergeCell ref="E146:H146"/>
    <mergeCell ref="X146:Y146"/>
    <mergeCell ref="AH146:AK146"/>
    <mergeCell ref="AN141:AO143"/>
    <mergeCell ref="B136:D136"/>
    <mergeCell ref="E136:H136"/>
    <mergeCell ref="I136:Q136"/>
    <mergeCell ref="R136:AG136"/>
    <mergeCell ref="AH136:AK136"/>
    <mergeCell ref="AL136:AM136"/>
    <mergeCell ref="AH144:AK144"/>
    <mergeCell ref="AL144:AM146"/>
    <mergeCell ref="AN144:AO146"/>
    <mergeCell ref="S142:T142"/>
    <mergeCell ref="Z142:AA142"/>
    <mergeCell ref="AH142:AK142"/>
    <mergeCell ref="Z143:AA143"/>
    <mergeCell ref="AH143:AK143"/>
    <mergeCell ref="AP126:AQ129"/>
    <mergeCell ref="AR126:AT129"/>
    <mergeCell ref="AU126:AV129"/>
    <mergeCell ref="I127:K127"/>
    <mergeCell ref="L127:O127"/>
    <mergeCell ref="P127:Q127"/>
    <mergeCell ref="AB127:AC127"/>
    <mergeCell ref="AH127:AK127"/>
    <mergeCell ref="AH128:AK128"/>
    <mergeCell ref="R134:S134"/>
    <mergeCell ref="X134:Y134"/>
    <mergeCell ref="AH134:AK134"/>
    <mergeCell ref="AP137:AQ140"/>
    <mergeCell ref="AR137:AT140"/>
    <mergeCell ref="AU137:AV140"/>
    <mergeCell ref="I138:K138"/>
    <mergeCell ref="L138:O138"/>
    <mergeCell ref="P138:Q138"/>
    <mergeCell ref="AN136:AQ136"/>
    <mergeCell ref="AR136:AV136"/>
    <mergeCell ref="E135:H135"/>
    <mergeCell ref="X135:Y135"/>
    <mergeCell ref="AH135:AK135"/>
    <mergeCell ref="AH133:AK133"/>
    <mergeCell ref="AL133:AM135"/>
    <mergeCell ref="AN133:AO135"/>
    <mergeCell ref="AP133:AQ135"/>
    <mergeCell ref="AR133:AT135"/>
    <mergeCell ref="AU133:AV135"/>
    <mergeCell ref="AL130:AM132"/>
    <mergeCell ref="AN130:AO132"/>
    <mergeCell ref="AP130:AQ132"/>
    <mergeCell ref="AR130:AT132"/>
    <mergeCell ref="AU130:AV132"/>
    <mergeCell ref="S131:T131"/>
    <mergeCell ref="Z131:AA131"/>
    <mergeCell ref="AH131:AK131"/>
    <mergeCell ref="Z132:AA132"/>
    <mergeCell ref="AH132:AK132"/>
    <mergeCell ref="R133:S133"/>
    <mergeCell ref="AN125:AQ125"/>
    <mergeCell ref="AR125:AV125"/>
    <mergeCell ref="B126:B135"/>
    <mergeCell ref="C126:D129"/>
    <mergeCell ref="E126:H128"/>
    <mergeCell ref="R126:S126"/>
    <mergeCell ref="W126:X126"/>
    <mergeCell ref="AH126:AK126"/>
    <mergeCell ref="AL126:AM129"/>
    <mergeCell ref="AN126:AO129"/>
    <mergeCell ref="B125:D125"/>
    <mergeCell ref="E125:H125"/>
    <mergeCell ref="I125:Q125"/>
    <mergeCell ref="R125:AG125"/>
    <mergeCell ref="AH125:AK125"/>
    <mergeCell ref="AL125:AM125"/>
    <mergeCell ref="R123:S123"/>
    <mergeCell ref="X123:Y123"/>
    <mergeCell ref="AH123:AK123"/>
    <mergeCell ref="E124:H124"/>
    <mergeCell ref="X124:Y124"/>
    <mergeCell ref="AH124:AK124"/>
    <mergeCell ref="C119:D124"/>
    <mergeCell ref="E129:H129"/>
    <mergeCell ref="AB129:AC129"/>
    <mergeCell ref="AH129:AK129"/>
    <mergeCell ref="C130:D135"/>
    <mergeCell ref="E130:H131"/>
    <mergeCell ref="S130:T130"/>
    <mergeCell ref="AH130:AK130"/>
    <mergeCell ref="E132:H132"/>
    <mergeCell ref="E133:H134"/>
    <mergeCell ref="E118:H118"/>
    <mergeCell ref="AB118:AC118"/>
    <mergeCell ref="AH118:AK118"/>
    <mergeCell ref="E119:H120"/>
    <mergeCell ref="S119:T119"/>
    <mergeCell ref="AH119:AK119"/>
    <mergeCell ref="E121:H121"/>
    <mergeCell ref="E122:H123"/>
    <mergeCell ref="R122:S122"/>
    <mergeCell ref="AP115:AQ118"/>
    <mergeCell ref="AR115:AT118"/>
    <mergeCell ref="AU115:AV118"/>
    <mergeCell ref="I116:K116"/>
    <mergeCell ref="L116:O116"/>
    <mergeCell ref="P116:Q116"/>
    <mergeCell ref="AB116:AC116"/>
    <mergeCell ref="AH116:AK116"/>
    <mergeCell ref="AH117:AK117"/>
    <mergeCell ref="AN114:AQ114"/>
    <mergeCell ref="AR114:AV114"/>
    <mergeCell ref="B115:B124"/>
    <mergeCell ref="C115:D118"/>
    <mergeCell ref="E115:H117"/>
    <mergeCell ref="R115:S115"/>
    <mergeCell ref="W115:X115"/>
    <mergeCell ref="AH115:AK115"/>
    <mergeCell ref="AL115:AM118"/>
    <mergeCell ref="AN115:AO118"/>
    <mergeCell ref="B114:D114"/>
    <mergeCell ref="E114:H114"/>
    <mergeCell ref="I114:Q114"/>
    <mergeCell ref="R114:AG114"/>
    <mergeCell ref="AH114:AK114"/>
    <mergeCell ref="AL114:AM114"/>
    <mergeCell ref="AH122:AK122"/>
    <mergeCell ref="AL122:AM124"/>
    <mergeCell ref="AN122:AO124"/>
    <mergeCell ref="AP122:AQ124"/>
    <mergeCell ref="AR122:AT124"/>
    <mergeCell ref="AU122:AV124"/>
    <mergeCell ref="AL119:AM121"/>
    <mergeCell ref="AN119:AO121"/>
    <mergeCell ref="AP119:AQ121"/>
    <mergeCell ref="AR119:AT121"/>
    <mergeCell ref="AU119:AV121"/>
    <mergeCell ref="S120:T120"/>
    <mergeCell ref="Z120:AA120"/>
    <mergeCell ref="AH120:AK120"/>
    <mergeCell ref="Z121:AA121"/>
    <mergeCell ref="AH121:AK121"/>
    <mergeCell ref="R111:S111"/>
    <mergeCell ref="AP104:AQ107"/>
    <mergeCell ref="AR104:AT107"/>
    <mergeCell ref="AU104:AV107"/>
    <mergeCell ref="I105:K105"/>
    <mergeCell ref="L105:O105"/>
    <mergeCell ref="P105:Q105"/>
    <mergeCell ref="AB105:AC105"/>
    <mergeCell ref="AH105:AK105"/>
    <mergeCell ref="AH106:AK106"/>
    <mergeCell ref="R112:S112"/>
    <mergeCell ref="X112:Y112"/>
    <mergeCell ref="AH112:AK112"/>
    <mergeCell ref="E113:H113"/>
    <mergeCell ref="X113:Y113"/>
    <mergeCell ref="AH113:AK113"/>
    <mergeCell ref="AH111:AK111"/>
    <mergeCell ref="AL111:AM113"/>
    <mergeCell ref="AN111:AO113"/>
    <mergeCell ref="AP111:AQ113"/>
    <mergeCell ref="AR111:AT113"/>
    <mergeCell ref="AU111:AV113"/>
    <mergeCell ref="AL108:AM110"/>
    <mergeCell ref="AN108:AO110"/>
    <mergeCell ref="AP108:AQ110"/>
    <mergeCell ref="AR108:AT110"/>
    <mergeCell ref="AU108:AV110"/>
    <mergeCell ref="S109:T109"/>
    <mergeCell ref="Z109:AA109"/>
    <mergeCell ref="AH109:AK109"/>
    <mergeCell ref="Z110:AA110"/>
    <mergeCell ref="AH110:AK110"/>
    <mergeCell ref="AN103:AQ103"/>
    <mergeCell ref="AR103:AV103"/>
    <mergeCell ref="B104:B113"/>
    <mergeCell ref="C104:D107"/>
    <mergeCell ref="E104:H106"/>
    <mergeCell ref="R104:S104"/>
    <mergeCell ref="W104:X104"/>
    <mergeCell ref="AH104:AK104"/>
    <mergeCell ref="AL104:AM107"/>
    <mergeCell ref="AN104:AO107"/>
    <mergeCell ref="B103:D103"/>
    <mergeCell ref="E103:H103"/>
    <mergeCell ref="I103:Q103"/>
    <mergeCell ref="R103:AG103"/>
    <mergeCell ref="AH103:AK103"/>
    <mergeCell ref="AL103:AM103"/>
    <mergeCell ref="R101:S101"/>
    <mergeCell ref="X101:Y101"/>
    <mergeCell ref="AH101:AK101"/>
    <mergeCell ref="E102:H102"/>
    <mergeCell ref="X102:Y102"/>
    <mergeCell ref="AH102:AK102"/>
    <mergeCell ref="C97:D102"/>
    <mergeCell ref="E107:H107"/>
    <mergeCell ref="AB107:AC107"/>
    <mergeCell ref="AH107:AK107"/>
    <mergeCell ref="C108:D113"/>
    <mergeCell ref="E108:H109"/>
    <mergeCell ref="S108:T108"/>
    <mergeCell ref="AH108:AK108"/>
    <mergeCell ref="E110:H110"/>
    <mergeCell ref="E111:H112"/>
    <mergeCell ref="E96:H96"/>
    <mergeCell ref="AB96:AC96"/>
    <mergeCell ref="AH96:AK96"/>
    <mergeCell ref="E97:H98"/>
    <mergeCell ref="S97:T97"/>
    <mergeCell ref="AH97:AK97"/>
    <mergeCell ref="E99:H99"/>
    <mergeCell ref="E100:H101"/>
    <mergeCell ref="R100:S100"/>
    <mergeCell ref="AP93:AQ96"/>
    <mergeCell ref="AR93:AT96"/>
    <mergeCell ref="AU93:AV96"/>
    <mergeCell ref="I94:K94"/>
    <mergeCell ref="L94:O94"/>
    <mergeCell ref="P94:Q94"/>
    <mergeCell ref="AB94:AC94"/>
    <mergeCell ref="AH94:AK94"/>
    <mergeCell ref="AH95:AK95"/>
    <mergeCell ref="AN92:AQ92"/>
    <mergeCell ref="AR92:AV92"/>
    <mergeCell ref="B93:B102"/>
    <mergeCell ref="C93:D96"/>
    <mergeCell ref="E93:H95"/>
    <mergeCell ref="R93:S93"/>
    <mergeCell ref="W93:X93"/>
    <mergeCell ref="AH93:AK93"/>
    <mergeCell ref="AL93:AM96"/>
    <mergeCell ref="AN93:AO96"/>
    <mergeCell ref="B92:D92"/>
    <mergeCell ref="E92:H92"/>
    <mergeCell ref="I92:Q92"/>
    <mergeCell ref="R92:AG92"/>
    <mergeCell ref="AH92:AK92"/>
    <mergeCell ref="AL92:AM92"/>
    <mergeCell ref="AH100:AK100"/>
    <mergeCell ref="AL100:AM102"/>
    <mergeCell ref="AN100:AO102"/>
    <mergeCell ref="AP100:AQ102"/>
    <mergeCell ref="AR100:AT102"/>
    <mergeCell ref="AU100:AV102"/>
    <mergeCell ref="AL97:AM99"/>
    <mergeCell ref="AN97:AO99"/>
    <mergeCell ref="AP97:AQ99"/>
    <mergeCell ref="AR97:AT99"/>
    <mergeCell ref="AU97:AV99"/>
    <mergeCell ref="S98:T98"/>
    <mergeCell ref="Z98:AA98"/>
    <mergeCell ref="AH98:AK98"/>
    <mergeCell ref="Z99:AA99"/>
    <mergeCell ref="AH99:AK99"/>
    <mergeCell ref="R89:S89"/>
    <mergeCell ref="AP82:AQ85"/>
    <mergeCell ref="AR82:AT85"/>
    <mergeCell ref="AU82:AV85"/>
    <mergeCell ref="I83:K83"/>
    <mergeCell ref="L83:O83"/>
    <mergeCell ref="P83:Q83"/>
    <mergeCell ref="AB83:AC83"/>
    <mergeCell ref="AH83:AK83"/>
    <mergeCell ref="AH84:AK84"/>
    <mergeCell ref="R90:S90"/>
    <mergeCell ref="X90:Y90"/>
    <mergeCell ref="AH90:AK90"/>
    <mergeCell ref="E91:H91"/>
    <mergeCell ref="X91:Y91"/>
    <mergeCell ref="AH91:AK91"/>
    <mergeCell ref="AH89:AK89"/>
    <mergeCell ref="AL89:AM91"/>
    <mergeCell ref="AN89:AO91"/>
    <mergeCell ref="AP89:AQ91"/>
    <mergeCell ref="AR89:AT91"/>
    <mergeCell ref="AU89:AV91"/>
    <mergeCell ref="AL86:AM88"/>
    <mergeCell ref="AN86:AO88"/>
    <mergeCell ref="AP86:AQ88"/>
    <mergeCell ref="AR86:AT88"/>
    <mergeCell ref="AU86:AV88"/>
    <mergeCell ref="S87:T87"/>
    <mergeCell ref="Z87:AA87"/>
    <mergeCell ref="AH87:AK87"/>
    <mergeCell ref="Z88:AA88"/>
    <mergeCell ref="AH88:AK88"/>
    <mergeCell ref="AN81:AQ81"/>
    <mergeCell ref="AR81:AV81"/>
    <mergeCell ref="B82:B91"/>
    <mergeCell ref="C82:D85"/>
    <mergeCell ref="E82:H84"/>
    <mergeCell ref="R82:S82"/>
    <mergeCell ref="W82:X82"/>
    <mergeCell ref="AH82:AK82"/>
    <mergeCell ref="AL82:AM85"/>
    <mergeCell ref="AN82:AO85"/>
    <mergeCell ref="B81:D81"/>
    <mergeCell ref="E81:H81"/>
    <mergeCell ref="I81:Q81"/>
    <mergeCell ref="R81:AG81"/>
    <mergeCell ref="AH81:AK81"/>
    <mergeCell ref="AL81:AM81"/>
    <mergeCell ref="R79:S79"/>
    <mergeCell ref="X79:Y79"/>
    <mergeCell ref="AH79:AK79"/>
    <mergeCell ref="E80:H80"/>
    <mergeCell ref="X80:Y80"/>
    <mergeCell ref="AH80:AK80"/>
    <mergeCell ref="C75:D80"/>
    <mergeCell ref="E85:H85"/>
    <mergeCell ref="AB85:AC85"/>
    <mergeCell ref="AH85:AK85"/>
    <mergeCell ref="C86:D91"/>
    <mergeCell ref="E86:H87"/>
    <mergeCell ref="S86:T86"/>
    <mergeCell ref="AH86:AK86"/>
    <mergeCell ref="E88:H88"/>
    <mergeCell ref="E89:H90"/>
    <mergeCell ref="E74:H74"/>
    <mergeCell ref="AB74:AC74"/>
    <mergeCell ref="AH74:AK74"/>
    <mergeCell ref="E75:H76"/>
    <mergeCell ref="S75:T75"/>
    <mergeCell ref="AH75:AK75"/>
    <mergeCell ref="E77:H77"/>
    <mergeCell ref="E78:H79"/>
    <mergeCell ref="R78:S78"/>
    <mergeCell ref="AP71:AQ74"/>
    <mergeCell ref="AR71:AT74"/>
    <mergeCell ref="AU71:AV74"/>
    <mergeCell ref="I72:K72"/>
    <mergeCell ref="L72:O72"/>
    <mergeCell ref="P72:Q72"/>
    <mergeCell ref="AB72:AC72"/>
    <mergeCell ref="AH72:AK72"/>
    <mergeCell ref="AH73:AK73"/>
    <mergeCell ref="AN70:AQ70"/>
    <mergeCell ref="AR70:AV70"/>
    <mergeCell ref="B71:B80"/>
    <mergeCell ref="C71:D74"/>
    <mergeCell ref="E71:H73"/>
    <mergeCell ref="R71:S71"/>
    <mergeCell ref="W71:X71"/>
    <mergeCell ref="AH71:AK71"/>
    <mergeCell ref="AL71:AM74"/>
    <mergeCell ref="AN71:AO74"/>
    <mergeCell ref="B70:D70"/>
    <mergeCell ref="E70:H70"/>
    <mergeCell ref="I70:Q70"/>
    <mergeCell ref="R70:AG70"/>
    <mergeCell ref="AH70:AK70"/>
    <mergeCell ref="AL70:AM70"/>
    <mergeCell ref="AH78:AK78"/>
    <mergeCell ref="AL78:AM80"/>
    <mergeCell ref="AN78:AO80"/>
    <mergeCell ref="AP78:AQ80"/>
    <mergeCell ref="AR78:AT80"/>
    <mergeCell ref="AU78:AV80"/>
    <mergeCell ref="AL75:AM77"/>
    <mergeCell ref="AN75:AO77"/>
    <mergeCell ref="AP75:AQ77"/>
    <mergeCell ref="AR75:AT77"/>
    <mergeCell ref="AU75:AV77"/>
    <mergeCell ref="S76:T76"/>
    <mergeCell ref="Z76:AA76"/>
    <mergeCell ref="AH76:AK76"/>
    <mergeCell ref="Z77:AA77"/>
    <mergeCell ref="AH77:AK77"/>
    <mergeCell ref="R67:S67"/>
    <mergeCell ref="AP60:AQ63"/>
    <mergeCell ref="AR60:AT63"/>
    <mergeCell ref="AU60:AV63"/>
    <mergeCell ref="I61:K61"/>
    <mergeCell ref="L61:O61"/>
    <mergeCell ref="P61:Q61"/>
    <mergeCell ref="AB61:AC61"/>
    <mergeCell ref="AH61:AK61"/>
    <mergeCell ref="AH62:AK62"/>
    <mergeCell ref="R68:S68"/>
    <mergeCell ref="X68:Y68"/>
    <mergeCell ref="AH68:AK68"/>
    <mergeCell ref="E69:H69"/>
    <mergeCell ref="X69:Y69"/>
    <mergeCell ref="AH69:AK69"/>
    <mergeCell ref="AH67:AK67"/>
    <mergeCell ref="AL67:AM69"/>
    <mergeCell ref="AN67:AO69"/>
    <mergeCell ref="AP67:AQ69"/>
    <mergeCell ref="AR67:AT69"/>
    <mergeCell ref="AU67:AV69"/>
    <mergeCell ref="AL64:AM66"/>
    <mergeCell ref="AN64:AO66"/>
    <mergeCell ref="AP64:AQ66"/>
    <mergeCell ref="AR64:AT66"/>
    <mergeCell ref="AU64:AV66"/>
    <mergeCell ref="S65:T65"/>
    <mergeCell ref="Z65:AA65"/>
    <mergeCell ref="AH65:AK65"/>
    <mergeCell ref="Z66:AA66"/>
    <mergeCell ref="AH66:AK66"/>
    <mergeCell ref="AN59:AQ59"/>
    <mergeCell ref="AR59:AV59"/>
    <mergeCell ref="B60:B69"/>
    <mergeCell ref="C60:D63"/>
    <mergeCell ref="E60:H62"/>
    <mergeCell ref="R60:S60"/>
    <mergeCell ref="W60:X60"/>
    <mergeCell ref="AH60:AK60"/>
    <mergeCell ref="AL60:AM63"/>
    <mergeCell ref="AN60:AO63"/>
    <mergeCell ref="B59:D59"/>
    <mergeCell ref="E59:H59"/>
    <mergeCell ref="I59:Q59"/>
    <mergeCell ref="R59:AG59"/>
    <mergeCell ref="AH59:AK59"/>
    <mergeCell ref="AL59:AM59"/>
    <mergeCell ref="R57:S57"/>
    <mergeCell ref="X57:Y57"/>
    <mergeCell ref="AH57:AK57"/>
    <mergeCell ref="E58:H58"/>
    <mergeCell ref="X58:Y58"/>
    <mergeCell ref="AH58:AK58"/>
    <mergeCell ref="C53:D58"/>
    <mergeCell ref="E63:H63"/>
    <mergeCell ref="AB63:AC63"/>
    <mergeCell ref="AH63:AK63"/>
    <mergeCell ref="C64:D69"/>
    <mergeCell ref="E64:H65"/>
    <mergeCell ref="S64:T64"/>
    <mergeCell ref="AH64:AK64"/>
    <mergeCell ref="E66:H66"/>
    <mergeCell ref="E67:H68"/>
    <mergeCell ref="E52:H52"/>
    <mergeCell ref="AB52:AC52"/>
    <mergeCell ref="AH52:AK52"/>
    <mergeCell ref="E53:H54"/>
    <mergeCell ref="S53:T53"/>
    <mergeCell ref="AH53:AK53"/>
    <mergeCell ref="E55:H55"/>
    <mergeCell ref="E56:H57"/>
    <mergeCell ref="R56:S56"/>
    <mergeCell ref="AP49:AQ52"/>
    <mergeCell ref="AR49:AT52"/>
    <mergeCell ref="AU49:AV52"/>
    <mergeCell ref="I50:K50"/>
    <mergeCell ref="L50:O50"/>
    <mergeCell ref="P50:Q50"/>
    <mergeCell ref="AB50:AC50"/>
    <mergeCell ref="AH50:AK50"/>
    <mergeCell ref="AH51:AK51"/>
    <mergeCell ref="AN48:AQ48"/>
    <mergeCell ref="AR48:AV48"/>
    <mergeCell ref="B49:B58"/>
    <mergeCell ref="C49:D52"/>
    <mergeCell ref="E49:H51"/>
    <mergeCell ref="R49:S49"/>
    <mergeCell ref="W49:X49"/>
    <mergeCell ref="AH49:AK49"/>
    <mergeCell ref="AL49:AM52"/>
    <mergeCell ref="AN49:AO52"/>
    <mergeCell ref="B48:D48"/>
    <mergeCell ref="E48:H48"/>
    <mergeCell ref="I48:Q48"/>
    <mergeCell ref="R48:AG48"/>
    <mergeCell ref="AH48:AK48"/>
    <mergeCell ref="AL48:AM48"/>
    <mergeCell ref="AH56:AK56"/>
    <mergeCell ref="AL56:AM58"/>
    <mergeCell ref="AN56:AO58"/>
    <mergeCell ref="AP56:AQ58"/>
    <mergeCell ref="AR56:AT58"/>
    <mergeCell ref="AU56:AV58"/>
    <mergeCell ref="AL53:AM55"/>
    <mergeCell ref="AN53:AO55"/>
    <mergeCell ref="AP53:AQ55"/>
    <mergeCell ref="AR53:AT55"/>
    <mergeCell ref="AU53:AV55"/>
    <mergeCell ref="S54:T54"/>
    <mergeCell ref="Z54:AA54"/>
    <mergeCell ref="AH54:AK54"/>
    <mergeCell ref="Z55:AA55"/>
    <mergeCell ref="AH55:AK55"/>
    <mergeCell ref="R45:S45"/>
    <mergeCell ref="AP38:AQ41"/>
    <mergeCell ref="AR38:AT41"/>
    <mergeCell ref="AU38:AV41"/>
    <mergeCell ref="I39:K39"/>
    <mergeCell ref="L39:O39"/>
    <mergeCell ref="P39:Q39"/>
    <mergeCell ref="AB39:AC39"/>
    <mergeCell ref="AH39:AK39"/>
    <mergeCell ref="AH40:AK40"/>
    <mergeCell ref="R46:S46"/>
    <mergeCell ref="X46:Y46"/>
    <mergeCell ref="AH46:AK46"/>
    <mergeCell ref="E47:H47"/>
    <mergeCell ref="X47:Y47"/>
    <mergeCell ref="AH47:AK47"/>
    <mergeCell ref="AH45:AK45"/>
    <mergeCell ref="AL45:AM47"/>
    <mergeCell ref="AN45:AO47"/>
    <mergeCell ref="AP45:AQ47"/>
    <mergeCell ref="AR45:AT47"/>
    <mergeCell ref="AU45:AV47"/>
    <mergeCell ref="AL42:AM44"/>
    <mergeCell ref="AN42:AO44"/>
    <mergeCell ref="AP42:AQ44"/>
    <mergeCell ref="AR42:AT44"/>
    <mergeCell ref="AU42:AV44"/>
    <mergeCell ref="S43:T43"/>
    <mergeCell ref="Z43:AA43"/>
    <mergeCell ref="AH43:AK43"/>
    <mergeCell ref="Z44:AA44"/>
    <mergeCell ref="AH44:AK44"/>
    <mergeCell ref="AN37:AQ37"/>
    <mergeCell ref="AR37:AV37"/>
    <mergeCell ref="B38:B47"/>
    <mergeCell ref="C38:D41"/>
    <mergeCell ref="E38:H40"/>
    <mergeCell ref="R38:S38"/>
    <mergeCell ref="W38:X38"/>
    <mergeCell ref="AH38:AK38"/>
    <mergeCell ref="AL38:AM41"/>
    <mergeCell ref="AN38:AO41"/>
    <mergeCell ref="B37:D37"/>
    <mergeCell ref="E37:H37"/>
    <mergeCell ref="I37:Q37"/>
    <mergeCell ref="R37:AG37"/>
    <mergeCell ref="AH37:AK37"/>
    <mergeCell ref="AL37:AM37"/>
    <mergeCell ref="R35:S35"/>
    <mergeCell ref="X35:Y35"/>
    <mergeCell ref="AH35:AK35"/>
    <mergeCell ref="E36:H36"/>
    <mergeCell ref="X36:Y36"/>
    <mergeCell ref="AH36:AK36"/>
    <mergeCell ref="C31:D36"/>
    <mergeCell ref="E41:H41"/>
    <mergeCell ref="AB41:AC41"/>
    <mergeCell ref="AH41:AK41"/>
    <mergeCell ref="C42:D47"/>
    <mergeCell ref="E42:H43"/>
    <mergeCell ref="S42:T42"/>
    <mergeCell ref="AH42:AK42"/>
    <mergeCell ref="E44:H44"/>
    <mergeCell ref="E45:H46"/>
    <mergeCell ref="E30:H30"/>
    <mergeCell ref="AB30:AC30"/>
    <mergeCell ref="AH30:AK30"/>
    <mergeCell ref="E31:H32"/>
    <mergeCell ref="S31:T31"/>
    <mergeCell ref="AH31:AK31"/>
    <mergeCell ref="E33:H33"/>
    <mergeCell ref="E34:H35"/>
    <mergeCell ref="R34:S34"/>
    <mergeCell ref="AP27:AQ30"/>
    <mergeCell ref="AR27:AT30"/>
    <mergeCell ref="AU27:AV30"/>
    <mergeCell ref="I28:K28"/>
    <mergeCell ref="L28:O28"/>
    <mergeCell ref="P28:Q28"/>
    <mergeCell ref="AB28:AC28"/>
    <mergeCell ref="AH28:AK28"/>
    <mergeCell ref="AH29:AK29"/>
    <mergeCell ref="AN26:AQ26"/>
    <mergeCell ref="AR26:AV26"/>
    <mergeCell ref="B27:B36"/>
    <mergeCell ref="C27:D30"/>
    <mergeCell ref="E27:H29"/>
    <mergeCell ref="R27:S27"/>
    <mergeCell ref="W27:X27"/>
    <mergeCell ref="AH27:AK27"/>
    <mergeCell ref="AL27:AM30"/>
    <mergeCell ref="AN27:AO30"/>
    <mergeCell ref="B26:D26"/>
    <mergeCell ref="E26:H26"/>
    <mergeCell ref="I26:Q26"/>
    <mergeCell ref="R26:AG26"/>
    <mergeCell ref="AH26:AK26"/>
    <mergeCell ref="AL26:AM26"/>
    <mergeCell ref="AH34:AK34"/>
    <mergeCell ref="AL34:AM36"/>
    <mergeCell ref="AN34:AO36"/>
    <mergeCell ref="AP34:AQ36"/>
    <mergeCell ref="AR34:AT36"/>
    <mergeCell ref="AU34:AV36"/>
    <mergeCell ref="AL31:AM33"/>
    <mergeCell ref="AN31:AO33"/>
    <mergeCell ref="AP31:AQ33"/>
    <mergeCell ref="AR31:AT33"/>
    <mergeCell ref="AU31:AV33"/>
    <mergeCell ref="S32:T32"/>
    <mergeCell ref="Z32:AA32"/>
    <mergeCell ref="AH32:AK32"/>
    <mergeCell ref="Z33:AA33"/>
    <mergeCell ref="AH33:AK33"/>
    <mergeCell ref="Z23:AA23"/>
    <mergeCell ref="AB23:AC23"/>
    <mergeCell ref="AD23:AE23"/>
    <mergeCell ref="AF23:AG23"/>
    <mergeCell ref="AH23:AK23"/>
    <mergeCell ref="AL23:AV23"/>
    <mergeCell ref="AL22:AV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AB22:AC22"/>
    <mergeCell ref="AD22:AE22"/>
    <mergeCell ref="AF22:AG22"/>
    <mergeCell ref="AH22:AK22"/>
    <mergeCell ref="AL21:AV21"/>
    <mergeCell ref="B22:G23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AB21:AC21"/>
    <mergeCell ref="AD21:AE21"/>
    <mergeCell ref="AF21:AG21"/>
    <mergeCell ref="AH21:AI21"/>
    <mergeCell ref="AJ20:AK21"/>
    <mergeCell ref="AL20:AV20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Z20:AA20"/>
    <mergeCell ref="AB20:AC20"/>
    <mergeCell ref="AD20:AE20"/>
    <mergeCell ref="AF20:AG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Z18:AA18"/>
    <mergeCell ref="AB18:AC18"/>
    <mergeCell ref="AD18:AE18"/>
    <mergeCell ref="AF18:AG18"/>
    <mergeCell ref="AH18:AI18"/>
    <mergeCell ref="B20:G21"/>
    <mergeCell ref="H20:I20"/>
    <mergeCell ref="J20:K20"/>
    <mergeCell ref="L20:M20"/>
    <mergeCell ref="N20:O20"/>
    <mergeCell ref="P20:Q20"/>
    <mergeCell ref="R20:S20"/>
    <mergeCell ref="T20:U20"/>
    <mergeCell ref="V20:W20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AL19:AV19"/>
    <mergeCell ref="X19:Y19"/>
    <mergeCell ref="Z19:AA19"/>
    <mergeCell ref="AB19:AC19"/>
    <mergeCell ref="AD19:AE19"/>
    <mergeCell ref="AF19:AG19"/>
    <mergeCell ref="AH19:AI19"/>
    <mergeCell ref="AJ18:AK19"/>
    <mergeCell ref="AL18:AV18"/>
    <mergeCell ref="T15:U15"/>
    <mergeCell ref="V15:W15"/>
    <mergeCell ref="X14:Y14"/>
    <mergeCell ref="Z14:AA14"/>
    <mergeCell ref="AB14:AC14"/>
    <mergeCell ref="AD14:AE14"/>
    <mergeCell ref="AF14:AG14"/>
    <mergeCell ref="AH14:AI14"/>
    <mergeCell ref="AL17:AV17"/>
    <mergeCell ref="B18:G19"/>
    <mergeCell ref="H18:I18"/>
    <mergeCell ref="J18:K18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J16:AK17"/>
    <mergeCell ref="AL16:AV16"/>
    <mergeCell ref="H17:I17"/>
    <mergeCell ref="J17:K17"/>
    <mergeCell ref="L17:M17"/>
    <mergeCell ref="N17:O17"/>
    <mergeCell ref="P17:Q17"/>
    <mergeCell ref="R17:S17"/>
    <mergeCell ref="T13:U13"/>
    <mergeCell ref="V13:W13"/>
    <mergeCell ref="X12:Y12"/>
    <mergeCell ref="Z12:AA12"/>
    <mergeCell ref="AB12:AC12"/>
    <mergeCell ref="AD12:AE12"/>
    <mergeCell ref="AF12:AG12"/>
    <mergeCell ref="AH12:AI12"/>
    <mergeCell ref="AL15:AV15"/>
    <mergeCell ref="B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5:Y15"/>
    <mergeCell ref="Z15:AA15"/>
    <mergeCell ref="AB15:AC15"/>
    <mergeCell ref="AD15:AE15"/>
    <mergeCell ref="AF15:AG15"/>
    <mergeCell ref="AH15:AI15"/>
    <mergeCell ref="AJ14:AK15"/>
    <mergeCell ref="AL14:AV14"/>
    <mergeCell ref="H15:I15"/>
    <mergeCell ref="J15:K15"/>
    <mergeCell ref="L15:M15"/>
    <mergeCell ref="N15:O15"/>
    <mergeCell ref="P15:Q15"/>
    <mergeCell ref="R15:S15"/>
    <mergeCell ref="V11:W11"/>
    <mergeCell ref="X11:Y11"/>
    <mergeCell ref="X10:Y10"/>
    <mergeCell ref="Z10:AA10"/>
    <mergeCell ref="AB10:AC10"/>
    <mergeCell ref="AD10:AE10"/>
    <mergeCell ref="AF10:AG10"/>
    <mergeCell ref="AH10:AI10"/>
    <mergeCell ref="AL13:AV13"/>
    <mergeCell ref="B14:G15"/>
    <mergeCell ref="H14:I14"/>
    <mergeCell ref="J14:K14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H13:AI13"/>
    <mergeCell ref="AJ12:AK13"/>
    <mergeCell ref="AL12:AV12"/>
    <mergeCell ref="H13:I13"/>
    <mergeCell ref="J13:K13"/>
    <mergeCell ref="L13:M13"/>
    <mergeCell ref="N13:O13"/>
    <mergeCell ref="P13:Q13"/>
    <mergeCell ref="R13:S13"/>
    <mergeCell ref="AL8:AV8"/>
    <mergeCell ref="H9:I9"/>
    <mergeCell ref="J9:K9"/>
    <mergeCell ref="L9:M9"/>
    <mergeCell ref="N9:O9"/>
    <mergeCell ref="P9:Q9"/>
    <mergeCell ref="R9:S9"/>
    <mergeCell ref="T9:U9"/>
    <mergeCell ref="AL11:AV11"/>
    <mergeCell ref="B12:G13"/>
    <mergeCell ref="H12:I12"/>
    <mergeCell ref="J12:K12"/>
    <mergeCell ref="L12:M12"/>
    <mergeCell ref="N12:O12"/>
    <mergeCell ref="P12:Q12"/>
    <mergeCell ref="R12:S12"/>
    <mergeCell ref="T12:U12"/>
    <mergeCell ref="V12:W12"/>
    <mergeCell ref="Z11:AA11"/>
    <mergeCell ref="AB11:AC11"/>
    <mergeCell ref="AD11:AE11"/>
    <mergeCell ref="AF11:AG11"/>
    <mergeCell ref="AH11:AI11"/>
    <mergeCell ref="AJ11:AK11"/>
    <mergeCell ref="AL10:AV10"/>
    <mergeCell ref="B11:I11"/>
    <mergeCell ref="J11:K11"/>
    <mergeCell ref="L11:M11"/>
    <mergeCell ref="N11:O11"/>
    <mergeCell ref="P11:Q11"/>
    <mergeCell ref="R11:S11"/>
    <mergeCell ref="T11:U11"/>
    <mergeCell ref="AL5:AV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F7:AG7"/>
    <mergeCell ref="AH7:AI7"/>
    <mergeCell ref="AJ7:AK10"/>
    <mergeCell ref="AL7:AV7"/>
    <mergeCell ref="H8:I8"/>
    <mergeCell ref="J8:Q8"/>
    <mergeCell ref="R8:S8"/>
    <mergeCell ref="T8:U8"/>
    <mergeCell ref="V8:AC8"/>
    <mergeCell ref="AD8:AE8"/>
    <mergeCell ref="T7:U7"/>
    <mergeCell ref="V7:W7"/>
    <mergeCell ref="X7:Y7"/>
    <mergeCell ref="Z7:AA7"/>
    <mergeCell ref="AB7:AC7"/>
    <mergeCell ref="AD7:AE7"/>
    <mergeCell ref="AB6:AC6"/>
    <mergeCell ref="AD6:AE6"/>
    <mergeCell ref="AF6:AG6"/>
    <mergeCell ref="AH9:AI9"/>
    <mergeCell ref="AL9:AV9"/>
    <mergeCell ref="H10:I10"/>
    <mergeCell ref="K1:L1"/>
    <mergeCell ref="M1:S1"/>
    <mergeCell ref="U1:W1"/>
    <mergeCell ref="Y1:AK1"/>
    <mergeCell ref="B5:I6"/>
    <mergeCell ref="J5:Q5"/>
    <mergeCell ref="R5:U5"/>
    <mergeCell ref="V5:AC5"/>
    <mergeCell ref="AD5:AG5"/>
    <mergeCell ref="AH5:AK6"/>
    <mergeCell ref="B7:G10"/>
    <mergeCell ref="H7:I7"/>
    <mergeCell ref="J7:K7"/>
    <mergeCell ref="L7:M7"/>
    <mergeCell ref="N7:O7"/>
    <mergeCell ref="P7:Q7"/>
    <mergeCell ref="R7:S7"/>
    <mergeCell ref="J10:K10"/>
    <mergeCell ref="L10:M10"/>
    <mergeCell ref="N10:O10"/>
    <mergeCell ref="P10:Q10"/>
    <mergeCell ref="R10:S10"/>
    <mergeCell ref="T10:U10"/>
    <mergeCell ref="V10:W10"/>
    <mergeCell ref="V9:W9"/>
    <mergeCell ref="X9:Y9"/>
    <mergeCell ref="Z9:AA9"/>
    <mergeCell ref="AB9:AC9"/>
    <mergeCell ref="AD9:AE9"/>
    <mergeCell ref="AF9:AG9"/>
    <mergeCell ref="AF8:AG8"/>
    <mergeCell ref="AH8:AI8"/>
  </mergeCells>
  <phoneticPr fontId="4"/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rowBreaks count="2" manualBreakCount="2">
    <brk id="69" max="47" man="1"/>
    <brk id="135" max="4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E00-000000000000}">
          <x14:formula1>
            <xm:f>料金単価!$B$21:$B$28</xm:f>
          </x14:formula1>
          <xm:sqref>Y1:AK1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20</vt:i4>
      </vt:variant>
    </vt:vector>
  </HeadingPairs>
  <TitlesOfParts>
    <vt:vector size="32" baseType="lpstr">
      <vt:lpstr>様式11-5</vt:lpstr>
      <vt:lpstr>様式11-6①</vt:lpstr>
      <vt:lpstr>様式11-6②</vt:lpstr>
      <vt:lpstr>様式11-6③</vt:lpstr>
      <vt:lpstr>様式11-6④</vt:lpstr>
      <vt:lpstr>様式11-6⑤</vt:lpstr>
      <vt:lpstr>様式11-6⑥</vt:lpstr>
      <vt:lpstr>様式11-6⑦</vt:lpstr>
      <vt:lpstr>様式11-6⑧</vt:lpstr>
      <vt:lpstr>様式11-6（学校ごとの集計）</vt:lpstr>
      <vt:lpstr>料金単価</vt:lpstr>
      <vt:lpstr>室名リスト</vt:lpstr>
      <vt:lpstr>室名リスト!Print_Area</vt:lpstr>
      <vt:lpstr>'様式11-5'!Print_Area</vt:lpstr>
      <vt:lpstr>'様式11-6（学校ごとの集計）'!Print_Area</vt:lpstr>
      <vt:lpstr>'様式11-6①'!Print_Area</vt:lpstr>
      <vt:lpstr>'様式11-6②'!Print_Area</vt:lpstr>
      <vt:lpstr>'様式11-6③'!Print_Area</vt:lpstr>
      <vt:lpstr>'様式11-6④'!Print_Area</vt:lpstr>
      <vt:lpstr>'様式11-6⑤'!Print_Area</vt:lpstr>
      <vt:lpstr>'様式11-6⑥'!Print_Area</vt:lpstr>
      <vt:lpstr>'様式11-6⑦'!Print_Area</vt:lpstr>
      <vt:lpstr>'様式11-6⑧'!Print_Area</vt:lpstr>
      <vt:lpstr>'様式11-6（学校ごとの集計）'!Print_Titles</vt:lpstr>
      <vt:lpstr>'様式11-6①'!Print_Titles</vt:lpstr>
      <vt:lpstr>'様式11-6②'!Print_Titles</vt:lpstr>
      <vt:lpstr>'様式11-6③'!Print_Titles</vt:lpstr>
      <vt:lpstr>'様式11-6④'!Print_Titles</vt:lpstr>
      <vt:lpstr>'様式11-6⑤'!Print_Titles</vt:lpstr>
      <vt:lpstr>'様式11-6⑥'!Print_Titles</vt:lpstr>
      <vt:lpstr>'様式11-6⑦'!Print_Titles</vt:lpstr>
      <vt:lpstr>'様式11-6⑧'!Print_Titles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2017-04-10T05:49:08Z</dcterms:created>
  <dcterms:modified xsi:type="dcterms:W3CDTF">2023-05-26T00:54:19Z</dcterms:modified>
</cp:coreProperties>
</file>